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ditya Nair\Desktop\"/>
    </mc:Choice>
  </mc:AlternateContent>
  <xr:revisionPtr revIDLastSave="0" documentId="13_ncr:1_{F7B47F07-74BD-443F-8C3A-5FADB0AA18F5}" xr6:coauthVersionLast="47" xr6:coauthVersionMax="47" xr10:uidLastSave="{00000000-0000-0000-0000-000000000000}"/>
  <bookViews>
    <workbookView xWindow="-98" yWindow="-98" windowWidth="21795" windowHeight="12975" tabRatio="786" activeTab="2" xr2:uid="{00000000-000D-0000-FFFF-FFFF00000000}"/>
  </bookViews>
  <sheets>
    <sheet name="Summary" sheetId="1" r:id="rId1"/>
    <sheet name="Historicals" sheetId="2" r:id="rId2"/>
    <sheet name="Assumptions" sheetId="3" r:id="rId3"/>
    <sheet name="RevBuild" sheetId="4" r:id="rId4"/>
    <sheet name="Model" sheetId="5" r:id="rId5"/>
    <sheet name="Ratios" sheetId="6" r:id="rId6"/>
    <sheet name="DCF" sheetId="9" r:id="rId7"/>
    <sheet name="SOTP" sheetId="10" r:id="rId8"/>
    <sheet name="Comps" sheetId="11" r:id="rId9"/>
    <sheet name="Scenarios" sheetId="12" r:id="rId10"/>
    <sheet name="WACC" sheetId="7" r:id="rId11"/>
    <sheet name="Sensitivity" sheetId="8" r:id="rId1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0" i="11" l="1"/>
  <c r="J10" i="11"/>
  <c r="F10" i="11"/>
  <c r="I10" i="11" s="1"/>
  <c r="J6" i="11" l="1"/>
  <c r="F6" i="11"/>
  <c r="D22" i="11" s="1"/>
  <c r="E22" i="11" s="1"/>
  <c r="E94" i="5"/>
  <c r="D93" i="5"/>
  <c r="G37" i="3"/>
  <c r="H37" i="3"/>
  <c r="I37" i="3"/>
  <c r="J37" i="3"/>
  <c r="K37" i="3"/>
  <c r="K20" i="5" s="1"/>
  <c r="L37" i="3"/>
  <c r="L20" i="5" s="1"/>
  <c r="M37" i="3"/>
  <c r="M20" i="5" s="1"/>
  <c r="N37" i="3"/>
  <c r="N60" i="5" s="1"/>
  <c r="F37" i="3"/>
  <c r="F60" i="5" s="1"/>
  <c r="H16" i="3"/>
  <c r="I16" i="3"/>
  <c r="J16" i="3" s="1"/>
  <c r="G16" i="3"/>
  <c r="G13" i="4" s="1"/>
  <c r="K22" i="3"/>
  <c r="K21" i="4" s="1"/>
  <c r="L22" i="3"/>
  <c r="M22" i="3" s="1"/>
  <c r="J22" i="3"/>
  <c r="J21" i="4" s="1"/>
  <c r="F42" i="12"/>
  <c r="L29" i="12"/>
  <c r="K29" i="12"/>
  <c r="J29" i="12"/>
  <c r="I29" i="12"/>
  <c r="H29" i="12"/>
  <c r="G29" i="12"/>
  <c r="F29" i="12"/>
  <c r="E29" i="12"/>
  <c r="D29" i="12"/>
  <c r="E23" i="12"/>
  <c r="L20" i="12"/>
  <c r="K20" i="12"/>
  <c r="J20" i="12"/>
  <c r="I20" i="12"/>
  <c r="H20" i="12"/>
  <c r="G20" i="12"/>
  <c r="F20" i="12"/>
  <c r="E20" i="12"/>
  <c r="D20" i="12"/>
  <c r="K19" i="12"/>
  <c r="J19" i="12"/>
  <c r="H19" i="12"/>
  <c r="L18" i="12"/>
  <c r="K18" i="12"/>
  <c r="J18" i="12"/>
  <c r="I18" i="12"/>
  <c r="I19" i="12" s="1"/>
  <c r="H18" i="12"/>
  <c r="G18" i="12"/>
  <c r="G19" i="12" s="1"/>
  <c r="F18" i="12"/>
  <c r="E18" i="12"/>
  <c r="D18" i="12"/>
  <c r="L17" i="12"/>
  <c r="K17" i="12"/>
  <c r="L19" i="12" s="1"/>
  <c r="J17" i="12"/>
  <c r="I17" i="12"/>
  <c r="H17" i="12"/>
  <c r="G17" i="12"/>
  <c r="F17" i="12"/>
  <c r="E17" i="12"/>
  <c r="D17" i="12"/>
  <c r="L9" i="12"/>
  <c r="K9" i="12"/>
  <c r="J9" i="12"/>
  <c r="I9" i="12"/>
  <c r="H9" i="12"/>
  <c r="G9" i="12"/>
  <c r="F9" i="12"/>
  <c r="E9" i="12"/>
  <c r="D9" i="12"/>
  <c r="C13" i="11"/>
  <c r="L11" i="11"/>
  <c r="K11" i="11"/>
  <c r="H9" i="11"/>
  <c r="F9" i="11"/>
  <c r="I9" i="11" s="1"/>
  <c r="H8" i="11"/>
  <c r="F8" i="11"/>
  <c r="I8" i="11" s="1"/>
  <c r="H7" i="11"/>
  <c r="F7" i="11"/>
  <c r="I7" i="11" s="1"/>
  <c r="D22" i="10"/>
  <c r="D10" i="10"/>
  <c r="F10" i="10" s="1"/>
  <c r="N52" i="9"/>
  <c r="N40" i="9"/>
  <c r="N37" i="9"/>
  <c r="N25" i="9"/>
  <c r="N7" i="9"/>
  <c r="M7" i="9"/>
  <c r="L7" i="9"/>
  <c r="K7" i="9"/>
  <c r="J7" i="9"/>
  <c r="I7" i="9"/>
  <c r="H7" i="9"/>
  <c r="G7" i="9"/>
  <c r="F7" i="9"/>
  <c r="D23" i="7"/>
  <c r="D21" i="7"/>
  <c r="D22" i="7" s="1"/>
  <c r="F9" i="7"/>
  <c r="F8" i="7"/>
  <c r="F7" i="7"/>
  <c r="F6" i="7"/>
  <c r="F5" i="7"/>
  <c r="M35" i="6"/>
  <c r="L35" i="6"/>
  <c r="K35" i="6"/>
  <c r="D25" i="6"/>
  <c r="D14" i="6"/>
  <c r="D92" i="5"/>
  <c r="D23" i="6" s="1"/>
  <c r="E82" i="5"/>
  <c r="N68" i="5"/>
  <c r="M68" i="5"/>
  <c r="L68" i="5"/>
  <c r="K68" i="5"/>
  <c r="J68" i="5"/>
  <c r="I68" i="5"/>
  <c r="H68" i="5"/>
  <c r="G68" i="5"/>
  <c r="F68" i="5"/>
  <c r="E68" i="5"/>
  <c r="K60" i="5"/>
  <c r="J60" i="5"/>
  <c r="I60" i="5"/>
  <c r="H60" i="5"/>
  <c r="G60" i="5"/>
  <c r="E60" i="5"/>
  <c r="E58" i="5"/>
  <c r="D51" i="5"/>
  <c r="D54" i="5" s="1"/>
  <c r="E50" i="5"/>
  <c r="D44" i="5"/>
  <c r="E43" i="5"/>
  <c r="F43" i="5" s="1"/>
  <c r="F72" i="5" s="1"/>
  <c r="E42" i="5"/>
  <c r="F42" i="5" s="1"/>
  <c r="G42" i="5" s="1"/>
  <c r="H42" i="5" s="1"/>
  <c r="I42" i="5" s="1"/>
  <c r="J42" i="5" s="1"/>
  <c r="K42" i="5" s="1"/>
  <c r="L42" i="5" s="1"/>
  <c r="M42" i="5" s="1"/>
  <c r="N42" i="5" s="1"/>
  <c r="E41" i="5"/>
  <c r="F41" i="5" s="1"/>
  <c r="N31" i="5"/>
  <c r="M31" i="5"/>
  <c r="L31" i="5"/>
  <c r="K31" i="5"/>
  <c r="J31" i="5"/>
  <c r="I31" i="5"/>
  <c r="H31" i="5"/>
  <c r="G31" i="5"/>
  <c r="F31" i="5"/>
  <c r="E31" i="5"/>
  <c r="D28" i="5"/>
  <c r="D24" i="5"/>
  <c r="D23" i="5"/>
  <c r="N20" i="5"/>
  <c r="J20" i="5"/>
  <c r="I20" i="5"/>
  <c r="H20" i="5"/>
  <c r="G20" i="5"/>
  <c r="F20" i="5"/>
  <c r="E20" i="5"/>
  <c r="D20" i="5"/>
  <c r="K17" i="5"/>
  <c r="K40" i="4"/>
  <c r="J40" i="4"/>
  <c r="I40" i="4"/>
  <c r="N33" i="4"/>
  <c r="N17" i="5" s="1"/>
  <c r="M33" i="4"/>
  <c r="M17" i="5" s="1"/>
  <c r="L33" i="4"/>
  <c r="L17" i="5" s="1"/>
  <c r="K33" i="4"/>
  <c r="J33" i="4"/>
  <c r="J17" i="5" s="1"/>
  <c r="I33" i="4"/>
  <c r="I17" i="5" s="1"/>
  <c r="H33" i="4"/>
  <c r="H17" i="5" s="1"/>
  <c r="G33" i="4"/>
  <c r="G17" i="5" s="1"/>
  <c r="F33" i="4"/>
  <c r="F17" i="5" s="1"/>
  <c r="E33" i="4"/>
  <c r="E17" i="5" s="1"/>
  <c r="D33" i="4"/>
  <c r="D17" i="5" s="1"/>
  <c r="N32" i="4"/>
  <c r="N40" i="4" s="1"/>
  <c r="M32" i="4"/>
  <c r="M40" i="4" s="1"/>
  <c r="L32" i="4"/>
  <c r="L40" i="4" s="1"/>
  <c r="K32" i="4"/>
  <c r="J32" i="4"/>
  <c r="I32" i="4"/>
  <c r="H32" i="4"/>
  <c r="H40" i="4" s="1"/>
  <c r="G32" i="4"/>
  <c r="G40" i="4" s="1"/>
  <c r="F32" i="4"/>
  <c r="F40" i="4" s="1"/>
  <c r="E32" i="4"/>
  <c r="E40" i="4" s="1"/>
  <c r="D32" i="4"/>
  <c r="D40" i="4" s="1"/>
  <c r="E30" i="4"/>
  <c r="E31" i="4" s="1"/>
  <c r="E16" i="5" s="1"/>
  <c r="D30" i="4"/>
  <c r="D38" i="4" s="1"/>
  <c r="E27" i="4"/>
  <c r="E29" i="4" s="1"/>
  <c r="E15" i="5" s="1"/>
  <c r="D27" i="4"/>
  <c r="D29" i="4" s="1"/>
  <c r="D15" i="5" s="1"/>
  <c r="N23" i="4"/>
  <c r="M23" i="4"/>
  <c r="L23" i="4"/>
  <c r="K23" i="4"/>
  <c r="J23" i="4"/>
  <c r="I23" i="4"/>
  <c r="H23" i="4"/>
  <c r="G23" i="4"/>
  <c r="F23" i="4"/>
  <c r="E23" i="4"/>
  <c r="D23" i="4"/>
  <c r="I21" i="4"/>
  <c r="H21" i="4"/>
  <c r="G21" i="4"/>
  <c r="F21" i="4"/>
  <c r="E21" i="4"/>
  <c r="D21" i="4"/>
  <c r="E19" i="4"/>
  <c r="E24" i="4" s="1"/>
  <c r="E13" i="5" s="1"/>
  <c r="D19" i="4"/>
  <c r="D24" i="4" s="1"/>
  <c r="D13" i="5" s="1"/>
  <c r="N15" i="4"/>
  <c r="M15" i="4"/>
  <c r="L15" i="4"/>
  <c r="K15" i="4"/>
  <c r="J15" i="4"/>
  <c r="I15" i="4"/>
  <c r="H15" i="4"/>
  <c r="G15" i="4"/>
  <c r="F15" i="4"/>
  <c r="E15" i="4"/>
  <c r="D15" i="4"/>
  <c r="H13" i="4"/>
  <c r="F13" i="4"/>
  <c r="E13" i="4"/>
  <c r="D13" i="4"/>
  <c r="N10" i="4"/>
  <c r="N35" i="6" s="1"/>
  <c r="M10" i="4"/>
  <c r="L10" i="4"/>
  <c r="K10" i="4"/>
  <c r="J10" i="4"/>
  <c r="J35" i="6" s="1"/>
  <c r="I10" i="4"/>
  <c r="I35" i="6" s="1"/>
  <c r="H10" i="4"/>
  <c r="H35" i="6" s="1"/>
  <c r="G10" i="4"/>
  <c r="G35" i="6" s="1"/>
  <c r="F10" i="4"/>
  <c r="F35" i="6" s="1"/>
  <c r="E10" i="4"/>
  <c r="E35" i="6" s="1"/>
  <c r="D10" i="4"/>
  <c r="D35" i="6" s="1"/>
  <c r="N8" i="4"/>
  <c r="N49" i="5" s="1"/>
  <c r="N40" i="5" s="1"/>
  <c r="M8" i="4"/>
  <c r="L8" i="4"/>
  <c r="L49" i="5" s="1"/>
  <c r="L40" i="5" s="1"/>
  <c r="K8" i="4"/>
  <c r="K49" i="5" s="1"/>
  <c r="K40" i="5" s="1"/>
  <c r="J8" i="4"/>
  <c r="J49" i="5" s="1"/>
  <c r="I8" i="4"/>
  <c r="H8" i="4"/>
  <c r="G8" i="4"/>
  <c r="F8" i="4"/>
  <c r="G6" i="4" s="1"/>
  <c r="G9" i="4" s="1"/>
  <c r="E8" i="4"/>
  <c r="D8" i="4"/>
  <c r="D7" i="4" s="1"/>
  <c r="M6" i="4"/>
  <c r="M9" i="4" s="1"/>
  <c r="M86" i="5" s="1"/>
  <c r="M21" i="5" s="1"/>
  <c r="L6" i="4"/>
  <c r="L7" i="4" s="1"/>
  <c r="K6" i="4"/>
  <c r="K9" i="4" s="1"/>
  <c r="K11" i="4" s="1"/>
  <c r="I6" i="4"/>
  <c r="D8" i="3"/>
  <c r="D42" i="6" s="1"/>
  <c r="C39" i="1"/>
  <c r="D20" i="1"/>
  <c r="C13" i="1"/>
  <c r="C12" i="1"/>
  <c r="C7" i="1"/>
  <c r="I85" i="2"/>
  <c r="I84" i="2"/>
  <c r="I83" i="2"/>
  <c r="J74" i="2"/>
  <c r="J75" i="2" s="1"/>
  <c r="I74" i="2"/>
  <c r="I75" i="2" s="1"/>
  <c r="H74" i="2"/>
  <c r="H75" i="2" s="1"/>
  <c r="J65" i="2"/>
  <c r="J66" i="2" s="1"/>
  <c r="I65" i="2"/>
  <c r="I66" i="2" s="1"/>
  <c r="H65" i="2"/>
  <c r="H66" i="2" s="1"/>
  <c r="H54" i="2"/>
  <c r="G54" i="2"/>
  <c r="F54" i="2"/>
  <c r="E54" i="2"/>
  <c r="D52" i="2"/>
  <c r="H50" i="2"/>
  <c r="G50" i="2"/>
  <c r="F50" i="2"/>
  <c r="E50" i="2"/>
  <c r="D50" i="2"/>
  <c r="H44" i="2"/>
  <c r="G44" i="2"/>
  <c r="H43" i="2"/>
  <c r="H52" i="2" s="1"/>
  <c r="G43" i="2"/>
  <c r="G52" i="2" s="1"/>
  <c r="F43" i="2"/>
  <c r="F52" i="2" s="1"/>
  <c r="E43" i="2"/>
  <c r="E52" i="2" s="1"/>
  <c r="D43" i="2"/>
  <c r="H41" i="2"/>
  <c r="G41" i="2"/>
  <c r="F41" i="2"/>
  <c r="E41" i="2"/>
  <c r="D41" i="2"/>
  <c r="H35" i="2"/>
  <c r="G35" i="2"/>
  <c r="F35" i="2"/>
  <c r="E35" i="2"/>
  <c r="D35" i="2"/>
  <c r="H33" i="2"/>
  <c r="G33" i="2"/>
  <c r="F33" i="2"/>
  <c r="E33" i="2"/>
  <c r="D33" i="2"/>
  <c r="H26" i="2"/>
  <c r="G26" i="2"/>
  <c r="F26" i="2"/>
  <c r="E26" i="2"/>
  <c r="E27" i="2" s="1"/>
  <c r="D26" i="2"/>
  <c r="H23" i="2"/>
  <c r="G23" i="2"/>
  <c r="F23" i="2"/>
  <c r="E23" i="2"/>
  <c r="D23" i="2"/>
  <c r="J9" i="2"/>
  <c r="J10" i="2" s="1"/>
  <c r="I9" i="2"/>
  <c r="I10" i="2" s="1"/>
  <c r="H9" i="2"/>
  <c r="G9" i="2"/>
  <c r="G10" i="2" s="1"/>
  <c r="F9" i="2"/>
  <c r="E9" i="2"/>
  <c r="E10" i="2" s="1"/>
  <c r="D9" i="2"/>
  <c r="D10" i="2" s="1"/>
  <c r="H7" i="2"/>
  <c r="G7" i="2"/>
  <c r="F7" i="2"/>
  <c r="E7" i="2"/>
  <c r="I6" i="11" l="1"/>
  <c r="J9" i="11"/>
  <c r="D55" i="5"/>
  <c r="C34" i="1" s="1"/>
  <c r="E72" i="5"/>
  <c r="G43" i="5"/>
  <c r="D24" i="6"/>
  <c r="G7" i="4"/>
  <c r="K7" i="4"/>
  <c r="L9" i="4"/>
  <c r="L11" i="4" s="1"/>
  <c r="L12" i="4" s="1"/>
  <c r="D28" i="4"/>
  <c r="D39" i="4" s="1"/>
  <c r="G11" i="4"/>
  <c r="G14" i="4" s="1"/>
  <c r="G86" i="5"/>
  <c r="G21" i="5" s="1"/>
  <c r="E28" i="4"/>
  <c r="E39" i="4" s="1"/>
  <c r="D31" i="4"/>
  <c r="D16" i="5" s="1"/>
  <c r="G49" i="5"/>
  <c r="H49" i="5"/>
  <c r="H87" i="5" s="1"/>
  <c r="H28" i="5" s="1"/>
  <c r="D22" i="4"/>
  <c r="D37" i="4" s="1"/>
  <c r="H6" i="4"/>
  <c r="H9" i="4" s="1"/>
  <c r="L60" i="5"/>
  <c r="M60" i="5"/>
  <c r="K16" i="3"/>
  <c r="J13" i="4"/>
  <c r="I13" i="4"/>
  <c r="N22" i="3"/>
  <c r="N21" i="4" s="1"/>
  <c r="M21" i="4"/>
  <c r="L21" i="4"/>
  <c r="E34" i="2"/>
  <c r="D41" i="1" s="1"/>
  <c r="D27" i="2"/>
  <c r="D34" i="2" s="1"/>
  <c r="C41" i="1" s="1"/>
  <c r="F27" i="2"/>
  <c r="F34" i="2" s="1"/>
  <c r="E41" i="1" s="1"/>
  <c r="D14" i="2"/>
  <c r="D16" i="2" s="1"/>
  <c r="E14" i="2"/>
  <c r="E16" i="2" s="1"/>
  <c r="G14" i="2"/>
  <c r="G16" i="2" s="1"/>
  <c r="I14" i="2"/>
  <c r="I16" i="2" s="1"/>
  <c r="J14" i="2"/>
  <c r="G27" i="2"/>
  <c r="G34" i="2" s="1"/>
  <c r="F41" i="1" s="1"/>
  <c r="H27" i="2"/>
  <c r="K16" i="4"/>
  <c r="G41" i="5"/>
  <c r="F30" i="4"/>
  <c r="K87" i="5"/>
  <c r="K28" i="5" s="1"/>
  <c r="N6" i="4"/>
  <c r="N9" i="4" s="1"/>
  <c r="M49" i="5"/>
  <c r="M7" i="4"/>
  <c r="I11" i="11"/>
  <c r="F10" i="2"/>
  <c r="F14" i="2" s="1"/>
  <c r="F44" i="2"/>
  <c r="J8" i="11"/>
  <c r="E22" i="4"/>
  <c r="E37" i="4" s="1"/>
  <c r="E20" i="4"/>
  <c r="E19" i="12"/>
  <c r="D19" i="12"/>
  <c r="F19" i="4"/>
  <c r="K86" i="5"/>
  <c r="H34" i="2"/>
  <c r="G41" i="1" s="1"/>
  <c r="E38" i="4"/>
  <c r="I86" i="2"/>
  <c r="C36" i="1" s="1"/>
  <c r="M11" i="4"/>
  <c r="D9" i="4"/>
  <c r="E6" i="4"/>
  <c r="F6" i="4"/>
  <c r="E49" i="5"/>
  <c r="F49" i="5"/>
  <c r="D44" i="2"/>
  <c r="D18" i="2"/>
  <c r="I7" i="4"/>
  <c r="J6" i="4"/>
  <c r="I49" i="5"/>
  <c r="J87" i="5" s="1"/>
  <c r="J28" i="5" s="1"/>
  <c r="E18" i="2"/>
  <c r="E44" i="2"/>
  <c r="D13" i="11"/>
  <c r="N45" i="9"/>
  <c r="J40" i="5"/>
  <c r="F27" i="4"/>
  <c r="E75" i="5"/>
  <c r="F50" i="5"/>
  <c r="F10" i="7"/>
  <c r="F19" i="12"/>
  <c r="H10" i="2"/>
  <c r="H14" i="2" s="1"/>
  <c r="L87" i="5"/>
  <c r="L28" i="5" s="1"/>
  <c r="J7" i="11"/>
  <c r="I9" i="4"/>
  <c r="J11" i="11" l="1"/>
  <c r="G72" i="5"/>
  <c r="H43" i="5"/>
  <c r="L86" i="5"/>
  <c r="N7" i="4"/>
  <c r="L16" i="4"/>
  <c r="G16" i="4"/>
  <c r="G14" i="5" s="1"/>
  <c r="G87" i="5"/>
  <c r="G88" i="5" s="1"/>
  <c r="G40" i="5"/>
  <c r="H40" i="5"/>
  <c r="H86" i="5"/>
  <c r="H11" i="4"/>
  <c r="H7" i="4"/>
  <c r="L16" i="3"/>
  <c r="K13" i="4"/>
  <c r="K14" i="4" s="1"/>
  <c r="K36" i="4" s="1"/>
  <c r="H16" i="2"/>
  <c r="H18" i="2"/>
  <c r="F16" i="2"/>
  <c r="F18" i="2"/>
  <c r="J18" i="2"/>
  <c r="J16" i="2"/>
  <c r="I18" i="2"/>
  <c r="G18" i="2"/>
  <c r="J7" i="4"/>
  <c r="J9" i="4"/>
  <c r="M87" i="5"/>
  <c r="M40" i="5"/>
  <c r="L14" i="5"/>
  <c r="G50" i="5"/>
  <c r="F75" i="5"/>
  <c r="F87" i="5"/>
  <c r="F28" i="5" s="1"/>
  <c r="F40" i="5"/>
  <c r="H41" i="5"/>
  <c r="N86" i="5"/>
  <c r="N11" i="4"/>
  <c r="N87" i="5"/>
  <c r="N28" i="5" s="1"/>
  <c r="E40" i="5"/>
  <c r="N32" i="9"/>
  <c r="D24" i="7"/>
  <c r="E87" i="5"/>
  <c r="E28" i="5" s="1"/>
  <c r="F29" i="4"/>
  <c r="F15" i="5" s="1"/>
  <c r="F28" i="4"/>
  <c r="F39" i="4" s="1"/>
  <c r="G27" i="4"/>
  <c r="F9" i="4"/>
  <c r="F7" i="4"/>
  <c r="K21" i="5"/>
  <c r="K88" i="5"/>
  <c r="L21" i="5"/>
  <c r="L88" i="5"/>
  <c r="K14" i="5"/>
  <c r="F31" i="4"/>
  <c r="F16" i="5" s="1"/>
  <c r="G30" i="4"/>
  <c r="G8" i="5" s="1"/>
  <c r="F38" i="4"/>
  <c r="I40" i="5"/>
  <c r="I87" i="5"/>
  <c r="I28" i="5" s="1"/>
  <c r="E9" i="4"/>
  <c r="E7" i="4"/>
  <c r="D86" i="5"/>
  <c r="D11" i="4"/>
  <c r="F22" i="4"/>
  <c r="F37" i="4" s="1"/>
  <c r="F20" i="4"/>
  <c r="F24" i="4"/>
  <c r="F13" i="5" s="1"/>
  <c r="G19" i="4"/>
  <c r="I11" i="4"/>
  <c r="I86" i="5"/>
  <c r="M12" i="4"/>
  <c r="M16" i="4"/>
  <c r="G36" i="4"/>
  <c r="H72" i="5" l="1"/>
  <c r="I43" i="5"/>
  <c r="G79" i="5"/>
  <c r="G89" i="5"/>
  <c r="G90" i="5" s="1"/>
  <c r="G28" i="5"/>
  <c r="H12" i="4"/>
  <c r="H14" i="4"/>
  <c r="H36" i="4" s="1"/>
  <c r="H16" i="4"/>
  <c r="H14" i="5" s="1"/>
  <c r="H88" i="5"/>
  <c r="H21" i="5"/>
  <c r="M16" i="3"/>
  <c r="L13" i="4"/>
  <c r="L14" i="4" s="1"/>
  <c r="L36" i="4" s="1"/>
  <c r="G75" i="5"/>
  <c r="H50" i="5"/>
  <c r="N88" i="5"/>
  <c r="N21" i="5"/>
  <c r="E11" i="4"/>
  <c r="E86" i="5"/>
  <c r="M14" i="5"/>
  <c r="I88" i="5"/>
  <c r="I21" i="5"/>
  <c r="G31" i="4"/>
  <c r="G16" i="5" s="1"/>
  <c r="H30" i="4"/>
  <c r="G38" i="4"/>
  <c r="D6" i="10"/>
  <c r="F6" i="10" s="1"/>
  <c r="I14" i="4"/>
  <c r="I16" i="4"/>
  <c r="I12" i="4"/>
  <c r="D15" i="7"/>
  <c r="D17" i="7" s="1"/>
  <c r="D18" i="7" s="1"/>
  <c r="D26" i="7"/>
  <c r="D25" i="7"/>
  <c r="G24" i="4"/>
  <c r="H19" i="4"/>
  <c r="G20" i="4"/>
  <c r="G22" i="4"/>
  <c r="G42" i="4"/>
  <c r="N16" i="4"/>
  <c r="N12" i="4"/>
  <c r="D42" i="4"/>
  <c r="D16" i="4"/>
  <c r="D14" i="4"/>
  <c r="D21" i="5"/>
  <c r="D88" i="5"/>
  <c r="M28" i="5"/>
  <c r="M88" i="5"/>
  <c r="L79" i="5"/>
  <c r="L89" i="5"/>
  <c r="L90" i="5" s="1"/>
  <c r="K79" i="5"/>
  <c r="K89" i="5"/>
  <c r="K90" i="5" s="1"/>
  <c r="I41" i="5"/>
  <c r="J11" i="4"/>
  <c r="J86" i="5"/>
  <c r="H27" i="4"/>
  <c r="G28" i="4"/>
  <c r="G39" i="4" s="1"/>
  <c r="G29" i="4"/>
  <c r="G15" i="5" s="1"/>
  <c r="G47" i="5"/>
  <c r="G36" i="5"/>
  <c r="F11" i="4"/>
  <c r="F77" i="5" s="1"/>
  <c r="F86" i="5"/>
  <c r="I72" i="5" l="1"/>
  <c r="J43" i="5"/>
  <c r="G80" i="5"/>
  <c r="G12" i="9"/>
  <c r="H79" i="5"/>
  <c r="H89" i="5"/>
  <c r="H90" i="5" s="1"/>
  <c r="H24" i="5" s="1"/>
  <c r="D28" i="7"/>
  <c r="D59" i="3" s="1"/>
  <c r="B16" i="8" s="1"/>
  <c r="N16" i="3"/>
  <c r="N13" i="4" s="1"/>
  <c r="N14" i="4" s="1"/>
  <c r="N36" i="4" s="1"/>
  <c r="M13" i="4"/>
  <c r="M14" i="4" s="1"/>
  <c r="M36" i="4" s="1"/>
  <c r="C24" i="1"/>
  <c r="D41" i="6"/>
  <c r="C31" i="1"/>
  <c r="H28" i="4"/>
  <c r="H39" i="4" s="1"/>
  <c r="I27" i="4"/>
  <c r="H29" i="4"/>
  <c r="H15" i="5" s="1"/>
  <c r="J21" i="5"/>
  <c r="J88" i="5"/>
  <c r="N14" i="5"/>
  <c r="F24" i="1"/>
  <c r="I79" i="5"/>
  <c r="I89" i="5"/>
  <c r="I90" i="5" s="1"/>
  <c r="H24" i="4"/>
  <c r="H20" i="4"/>
  <c r="H22" i="4"/>
  <c r="I19" i="4"/>
  <c r="H42" i="4"/>
  <c r="E88" i="5"/>
  <c r="E21" i="5"/>
  <c r="L24" i="5"/>
  <c r="M79" i="5"/>
  <c r="M89" i="5"/>
  <c r="M90" i="5" s="1"/>
  <c r="N79" i="5"/>
  <c r="N89" i="5"/>
  <c r="N90" i="5" s="1"/>
  <c r="I14" i="5"/>
  <c r="J16" i="4"/>
  <c r="J14" i="4"/>
  <c r="J12" i="4"/>
  <c r="K12" i="4"/>
  <c r="I30" i="4"/>
  <c r="H38" i="4"/>
  <c r="H31" i="4"/>
  <c r="H16" i="5" s="1"/>
  <c r="H8" i="5"/>
  <c r="J41" i="5"/>
  <c r="F78" i="5"/>
  <c r="F10" i="9"/>
  <c r="G37" i="4"/>
  <c r="G41" i="4" s="1"/>
  <c r="G77" i="5"/>
  <c r="K24" i="5"/>
  <c r="K12" i="9"/>
  <c r="K80" i="5"/>
  <c r="G13" i="5"/>
  <c r="G19" i="5" s="1"/>
  <c r="G44" i="4"/>
  <c r="B9" i="8"/>
  <c r="D23" i="12"/>
  <c r="F19" i="9"/>
  <c r="F20" i="9" s="1"/>
  <c r="E42" i="4"/>
  <c r="E14" i="4"/>
  <c r="E16" i="4"/>
  <c r="E12" i="4"/>
  <c r="L12" i="9"/>
  <c r="L80" i="5"/>
  <c r="H75" i="5"/>
  <c r="I50" i="5"/>
  <c r="F88" i="5"/>
  <c r="F21" i="5"/>
  <c r="I8" i="5"/>
  <c r="I36" i="4"/>
  <c r="F12" i="4"/>
  <c r="F42" i="4"/>
  <c r="G43" i="4" s="1"/>
  <c r="F14" i="4"/>
  <c r="F16" i="4"/>
  <c r="G12" i="4"/>
  <c r="G24" i="5"/>
  <c r="E77" i="5"/>
  <c r="D28" i="10"/>
  <c r="D29" i="10"/>
  <c r="G30" i="6"/>
  <c r="D8" i="5"/>
  <c r="D36" i="4"/>
  <c r="D41" i="4" s="1"/>
  <c r="G31" i="6"/>
  <c r="D44" i="4"/>
  <c r="D14" i="5"/>
  <c r="D19" i="5" s="1"/>
  <c r="I19" i="9" l="1"/>
  <c r="I20" i="9" s="1"/>
  <c r="J72" i="5"/>
  <c r="K43" i="5"/>
  <c r="L19" i="9"/>
  <c r="L20" i="9" s="1"/>
  <c r="H80" i="5"/>
  <c r="H12" i="9"/>
  <c r="B15" i="8"/>
  <c r="G19" i="9"/>
  <c r="G20" i="9" s="1"/>
  <c r="B11" i="8"/>
  <c r="D15" i="10"/>
  <c r="D16" i="10" s="1"/>
  <c r="B17" i="8"/>
  <c r="B7" i="8"/>
  <c r="J19" i="9"/>
  <c r="J20" i="9" s="1"/>
  <c r="K19" i="9"/>
  <c r="K20" i="9" s="1"/>
  <c r="M19" i="9"/>
  <c r="M20" i="9" s="1"/>
  <c r="N19" i="9"/>
  <c r="N20" i="9" s="1"/>
  <c r="B10" i="8"/>
  <c r="B8" i="8"/>
  <c r="H19" i="9"/>
  <c r="H20" i="9" s="1"/>
  <c r="B18" i="8"/>
  <c r="B19" i="8"/>
  <c r="E79" i="5"/>
  <c r="E80" i="5" s="1"/>
  <c r="E89" i="5"/>
  <c r="E90" i="5" s="1"/>
  <c r="D46" i="4"/>
  <c r="C35" i="1" s="1"/>
  <c r="D6" i="5"/>
  <c r="H47" i="5"/>
  <c r="H36" i="5"/>
  <c r="D33" i="6"/>
  <c r="D30" i="6"/>
  <c r="D31" i="6"/>
  <c r="H37" i="4"/>
  <c r="H41" i="4" s="1"/>
  <c r="H77" i="5"/>
  <c r="I75" i="5"/>
  <c r="J50" i="5"/>
  <c r="D9" i="10"/>
  <c r="F9" i="10" s="1"/>
  <c r="J30" i="4"/>
  <c r="I31" i="4"/>
  <c r="I16" i="5" s="1"/>
  <c r="I38" i="4"/>
  <c r="I24" i="5"/>
  <c r="E44" i="4"/>
  <c r="E14" i="5"/>
  <c r="E19" i="5" s="1"/>
  <c r="E43" i="4"/>
  <c r="D24" i="1"/>
  <c r="F26" i="1"/>
  <c r="G22" i="5"/>
  <c r="G7" i="6"/>
  <c r="F27" i="1"/>
  <c r="J79" i="5"/>
  <c r="J89" i="5"/>
  <c r="J90" i="5" s="1"/>
  <c r="E34" i="6"/>
  <c r="E91" i="5"/>
  <c r="E39" i="5" s="1"/>
  <c r="E78" i="5"/>
  <c r="I36" i="5"/>
  <c r="I47" i="5"/>
  <c r="K41" i="5"/>
  <c r="H43" i="4"/>
  <c r="G24" i="1"/>
  <c r="F79" i="5"/>
  <c r="F89" i="5"/>
  <c r="F90" i="5" s="1"/>
  <c r="J19" i="4"/>
  <c r="I20" i="4"/>
  <c r="I22" i="4"/>
  <c r="I24" i="4"/>
  <c r="I42" i="4"/>
  <c r="I43" i="4" s="1"/>
  <c r="H13" i="5"/>
  <c r="H19" i="5" s="1"/>
  <c r="H44" i="4"/>
  <c r="I80" i="5"/>
  <c r="I12" i="9"/>
  <c r="J36" i="4"/>
  <c r="E8" i="5"/>
  <c r="E36" i="4"/>
  <c r="E41" i="4" s="1"/>
  <c r="J14" i="5"/>
  <c r="E31" i="12"/>
  <c r="E11" i="12"/>
  <c r="E21" i="12"/>
  <c r="N24" i="5"/>
  <c r="J27" i="4"/>
  <c r="I28" i="4"/>
  <c r="I39" i="4" s="1"/>
  <c r="D8" i="10"/>
  <c r="F8" i="10" s="1"/>
  <c r="I29" i="4"/>
  <c r="I15" i="5" s="1"/>
  <c r="N12" i="9"/>
  <c r="N80" i="5"/>
  <c r="F44" i="4"/>
  <c r="F14" i="5"/>
  <c r="F19" i="5" s="1"/>
  <c r="G78" i="5"/>
  <c r="G10" i="9"/>
  <c r="G34" i="6"/>
  <c r="M24" i="5"/>
  <c r="D22" i="5"/>
  <c r="D7" i="6"/>
  <c r="C26" i="1"/>
  <c r="D26" i="6"/>
  <c r="C27" i="1"/>
  <c r="D39" i="6"/>
  <c r="F36" i="4"/>
  <c r="F41" i="4" s="1"/>
  <c r="F8" i="5"/>
  <c r="G6" i="5"/>
  <c r="M12" i="9"/>
  <c r="M80" i="5"/>
  <c r="C21" i="11"/>
  <c r="E24" i="1"/>
  <c r="F43" i="4"/>
  <c r="C27" i="11"/>
  <c r="E27" i="11" s="1"/>
  <c r="F34" i="6"/>
  <c r="E27" i="5" l="1"/>
  <c r="L43" i="5"/>
  <c r="K72" i="5"/>
  <c r="F47" i="5"/>
  <c r="F36" i="5"/>
  <c r="L41" i="5"/>
  <c r="I31" i="6"/>
  <c r="I73" i="5"/>
  <c r="K30" i="4"/>
  <c r="J31" i="4"/>
  <c r="J16" i="5" s="1"/>
  <c r="J38" i="4"/>
  <c r="F91" i="5"/>
  <c r="F23" i="5" s="1"/>
  <c r="D8" i="6"/>
  <c r="D25" i="5"/>
  <c r="J24" i="5"/>
  <c r="J12" i="9"/>
  <c r="J80" i="5"/>
  <c r="F22" i="5"/>
  <c r="F7" i="6"/>
  <c r="E26" i="1"/>
  <c r="E27" i="1"/>
  <c r="H30" i="6"/>
  <c r="H69" i="5"/>
  <c r="C28" i="11"/>
  <c r="E28" i="11" s="1"/>
  <c r="H22" i="5"/>
  <c r="H7" i="6"/>
  <c r="G26" i="1"/>
  <c r="G27" i="1"/>
  <c r="G38" i="5"/>
  <c r="F25" i="1"/>
  <c r="G37" i="5"/>
  <c r="G9" i="5"/>
  <c r="G48" i="5"/>
  <c r="F12" i="9"/>
  <c r="F80" i="5"/>
  <c r="F6" i="5"/>
  <c r="I30" i="6"/>
  <c r="I69" i="5"/>
  <c r="K50" i="5"/>
  <c r="J75" i="5"/>
  <c r="E6" i="5"/>
  <c r="E36" i="5"/>
  <c r="E47" i="5"/>
  <c r="H10" i="9"/>
  <c r="H34" i="6"/>
  <c r="H78" i="5"/>
  <c r="H6" i="5"/>
  <c r="J8" i="5"/>
  <c r="F11" i="12"/>
  <c r="F31" i="12"/>
  <c r="F21" i="12"/>
  <c r="D11" i="12"/>
  <c r="D31" i="12"/>
  <c r="D21" i="12"/>
  <c r="G8" i="6"/>
  <c r="H31" i="6"/>
  <c r="H73" i="5"/>
  <c r="I13" i="5"/>
  <c r="I19" i="5" s="1"/>
  <c r="D7" i="10"/>
  <c r="F7" i="10" s="1"/>
  <c r="I44" i="4"/>
  <c r="D9" i="5"/>
  <c r="C42" i="1"/>
  <c r="D32" i="6"/>
  <c r="C25" i="1"/>
  <c r="D40" i="6"/>
  <c r="I37" i="4"/>
  <c r="I41" i="4" s="1"/>
  <c r="I77" i="5"/>
  <c r="E23" i="5"/>
  <c r="E24" i="5"/>
  <c r="J20" i="4"/>
  <c r="J22" i="4"/>
  <c r="K19" i="4"/>
  <c r="J24" i="4"/>
  <c r="J42" i="4"/>
  <c r="J43" i="4" s="1"/>
  <c r="K27" i="4"/>
  <c r="J29" i="4"/>
  <c r="J15" i="5" s="1"/>
  <c r="J28" i="4"/>
  <c r="J39" i="4" s="1"/>
  <c r="F24" i="5"/>
  <c r="D26" i="1"/>
  <c r="D27" i="1"/>
  <c r="E7" i="6"/>
  <c r="E22" i="5"/>
  <c r="L72" i="5" l="1"/>
  <c r="M43" i="5"/>
  <c r="F9" i="9"/>
  <c r="F67" i="5"/>
  <c r="F25" i="5"/>
  <c r="F8" i="6"/>
  <c r="E67" i="5"/>
  <c r="G51" i="5"/>
  <c r="G32" i="6"/>
  <c r="G33" i="6"/>
  <c r="I34" i="6"/>
  <c r="I10" i="9"/>
  <c r="I78" i="5"/>
  <c r="J47" i="5"/>
  <c r="J36" i="5"/>
  <c r="H7" i="5"/>
  <c r="G25" i="1"/>
  <c r="H9" i="5"/>
  <c r="H37" i="5"/>
  <c r="H48" i="5"/>
  <c r="H38" i="5"/>
  <c r="H71" i="5" s="1"/>
  <c r="F39" i="5"/>
  <c r="D6" i="6"/>
  <c r="D10" i="5"/>
  <c r="K31" i="4"/>
  <c r="K16" i="5" s="1"/>
  <c r="L30" i="4"/>
  <c r="K38" i="4"/>
  <c r="K8" i="5"/>
  <c r="G21" i="12"/>
  <c r="G11" i="12"/>
  <c r="G31" i="12"/>
  <c r="E37" i="5"/>
  <c r="E33" i="6" s="1"/>
  <c r="D25" i="1"/>
  <c r="E7" i="5"/>
  <c r="L13" i="11" s="1"/>
  <c r="E38" i="5"/>
  <c r="E71" i="5" s="1"/>
  <c r="E9" i="5"/>
  <c r="G13" i="11"/>
  <c r="E48" i="5"/>
  <c r="E74" i="5" s="1"/>
  <c r="K20" i="4"/>
  <c r="K22" i="4"/>
  <c r="L19" i="4"/>
  <c r="K24" i="4"/>
  <c r="K42" i="4"/>
  <c r="K43" i="4" s="1"/>
  <c r="J37" i="4"/>
  <c r="J41" i="4" s="1"/>
  <c r="J77" i="5"/>
  <c r="F48" i="5"/>
  <c r="F51" i="5" s="1"/>
  <c r="E25" i="1"/>
  <c r="F7" i="5"/>
  <c r="F9" i="5"/>
  <c r="F38" i="5"/>
  <c r="F37" i="5"/>
  <c r="F33" i="6" s="1"/>
  <c r="H55" i="2" s="1"/>
  <c r="G6" i="6"/>
  <c r="G10" i="5"/>
  <c r="D13" i="6"/>
  <c r="D26" i="5"/>
  <c r="D9" i="6"/>
  <c r="C28" i="1"/>
  <c r="D29" i="5"/>
  <c r="D27" i="6"/>
  <c r="G7" i="5"/>
  <c r="I6" i="5"/>
  <c r="E25" i="5"/>
  <c r="H13" i="11"/>
  <c r="K13" i="11"/>
  <c r="E8" i="6"/>
  <c r="E73" i="5"/>
  <c r="E31" i="6"/>
  <c r="E30" i="6"/>
  <c r="E69" i="5"/>
  <c r="H8" i="6"/>
  <c r="D30" i="10"/>
  <c r="F11" i="10"/>
  <c r="I7" i="6"/>
  <c r="I22" i="5"/>
  <c r="K29" i="4"/>
  <c r="K15" i="5" s="1"/>
  <c r="K28" i="4"/>
  <c r="K39" i="4" s="1"/>
  <c r="L27" i="4"/>
  <c r="L50" i="5"/>
  <c r="K75" i="5"/>
  <c r="M41" i="5"/>
  <c r="F69" i="5"/>
  <c r="F30" i="6"/>
  <c r="G69" i="5"/>
  <c r="J13" i="5"/>
  <c r="J19" i="5" s="1"/>
  <c r="J44" i="4"/>
  <c r="F73" i="5"/>
  <c r="F31" i="6"/>
  <c r="G73" i="5"/>
  <c r="N43" i="5" l="1"/>
  <c r="N72" i="5" s="1"/>
  <c r="M72" i="5"/>
  <c r="I8" i="6"/>
  <c r="H32" i="6"/>
  <c r="H70" i="5"/>
  <c r="H33" i="6"/>
  <c r="D17" i="10"/>
  <c r="G10" i="10"/>
  <c r="G6" i="10"/>
  <c r="D31" i="10" s="1"/>
  <c r="G9" i="10"/>
  <c r="G8" i="10"/>
  <c r="J31" i="6"/>
  <c r="J73" i="5"/>
  <c r="J7" i="6"/>
  <c r="J22" i="5"/>
  <c r="F71" i="5"/>
  <c r="E32" i="6"/>
  <c r="E70" i="5"/>
  <c r="F74" i="5"/>
  <c r="G71" i="5"/>
  <c r="H74" i="5"/>
  <c r="H51" i="5"/>
  <c r="G7" i="10"/>
  <c r="D30" i="5"/>
  <c r="D33" i="5" s="1"/>
  <c r="H6" i="6"/>
  <c r="H10" i="5"/>
  <c r="E6" i="6"/>
  <c r="E10" i="5"/>
  <c r="J69" i="5"/>
  <c r="J30" i="6"/>
  <c r="H31" i="12"/>
  <c r="H11" i="12"/>
  <c r="H21" i="12"/>
  <c r="F32" i="6"/>
  <c r="F70" i="5"/>
  <c r="F6" i="6"/>
  <c r="F10" i="5"/>
  <c r="G70" i="5"/>
  <c r="E51" i="5"/>
  <c r="K47" i="5"/>
  <c r="K36" i="5"/>
  <c r="N41" i="5"/>
  <c r="J10" i="9"/>
  <c r="J34" i="6"/>
  <c r="J78" i="5"/>
  <c r="G74" i="5"/>
  <c r="J6" i="5"/>
  <c r="L31" i="4"/>
  <c r="L16" i="5" s="1"/>
  <c r="M30" i="4"/>
  <c r="L38" i="4"/>
  <c r="L8" i="5"/>
  <c r="M50" i="5"/>
  <c r="L75" i="5"/>
  <c r="E29" i="5"/>
  <c r="E26" i="5"/>
  <c r="D28" i="1"/>
  <c r="E9" i="6"/>
  <c r="E27" i="6"/>
  <c r="K13" i="5"/>
  <c r="K19" i="5" s="1"/>
  <c r="K44" i="4"/>
  <c r="L28" i="4"/>
  <c r="L39" i="4" s="1"/>
  <c r="M27" i="4"/>
  <c r="L29" i="4"/>
  <c r="L15" i="5" s="1"/>
  <c r="L24" i="4"/>
  <c r="L22" i="4"/>
  <c r="L20" i="4"/>
  <c r="M19" i="4"/>
  <c r="L42" i="4"/>
  <c r="L43" i="4" s="1"/>
  <c r="F6" i="9"/>
  <c r="F8" i="9" s="1"/>
  <c r="F26" i="5"/>
  <c r="E28" i="1"/>
  <c r="F27" i="6"/>
  <c r="F9" i="6"/>
  <c r="I37" i="5"/>
  <c r="I48" i="5"/>
  <c r="I7" i="5"/>
  <c r="I38" i="5"/>
  <c r="I71" i="5" s="1"/>
  <c r="I9" i="5"/>
  <c r="K37" i="4"/>
  <c r="K41" i="4" s="1"/>
  <c r="K77" i="5"/>
  <c r="G91" i="5"/>
  <c r="G23" i="5" s="1"/>
  <c r="F11" i="9" l="1"/>
  <c r="F13" i="9" s="1"/>
  <c r="G11" i="9"/>
  <c r="N30" i="4"/>
  <c r="M31" i="4"/>
  <c r="M16" i="5" s="1"/>
  <c r="M38" i="4"/>
  <c r="M8" i="5"/>
  <c r="G67" i="5"/>
  <c r="G9" i="9"/>
  <c r="G25" i="5"/>
  <c r="L13" i="5"/>
  <c r="L19" i="5" s="1"/>
  <c r="L44" i="4"/>
  <c r="M28" i="4"/>
  <c r="M39" i="4" s="1"/>
  <c r="N27" i="4"/>
  <c r="M29" i="4"/>
  <c r="M15" i="5" s="1"/>
  <c r="N50" i="5"/>
  <c r="N75" i="5" s="1"/>
  <c r="M75" i="5"/>
  <c r="J8" i="6"/>
  <c r="M22" i="4"/>
  <c r="N19" i="4"/>
  <c r="M20" i="4"/>
  <c r="M24" i="4"/>
  <c r="M42" i="4"/>
  <c r="M43" i="4" s="1"/>
  <c r="E30" i="5"/>
  <c r="E33" i="5" s="1"/>
  <c r="L36" i="5"/>
  <c r="L47" i="5"/>
  <c r="J7" i="5"/>
  <c r="J38" i="5"/>
  <c r="J71" i="5" s="1"/>
  <c r="J48" i="5"/>
  <c r="J37" i="5"/>
  <c r="J9" i="5"/>
  <c r="L37" i="4"/>
  <c r="L41" i="4" s="1"/>
  <c r="L77" i="5"/>
  <c r="G39" i="5"/>
  <c r="K78" i="5"/>
  <c r="K10" i="9"/>
  <c r="K34" i="6"/>
  <c r="K6" i="5"/>
  <c r="D10" i="6"/>
  <c r="C29" i="1"/>
  <c r="D32" i="5"/>
  <c r="I6" i="6"/>
  <c r="I10" i="5"/>
  <c r="I11" i="12"/>
  <c r="I31" i="12"/>
  <c r="I21" i="12"/>
  <c r="K7" i="6"/>
  <c r="K22" i="5"/>
  <c r="K69" i="5"/>
  <c r="K30" i="6"/>
  <c r="K31" i="6"/>
  <c r="K73" i="5"/>
  <c r="H11" i="9"/>
  <c r="I74" i="5"/>
  <c r="I51" i="5"/>
  <c r="I32" i="6"/>
  <c r="I70" i="5"/>
  <c r="I33" i="6"/>
  <c r="M37" i="4" l="1"/>
  <c r="M41" i="4" s="1"/>
  <c r="M77" i="5"/>
  <c r="L78" i="5"/>
  <c r="L34" i="6"/>
  <c r="L10" i="9"/>
  <c r="L6" i="5"/>
  <c r="N29" i="4"/>
  <c r="N15" i="5" s="1"/>
  <c r="N28" i="4"/>
  <c r="N39" i="4" s="1"/>
  <c r="J11" i="12"/>
  <c r="J31" i="12"/>
  <c r="J21" i="12"/>
  <c r="L69" i="5"/>
  <c r="L30" i="6"/>
  <c r="N24" i="4"/>
  <c r="N20" i="4"/>
  <c r="N22" i="4"/>
  <c r="N42" i="4"/>
  <c r="N43" i="4" s="1"/>
  <c r="H91" i="5"/>
  <c r="H23" i="5" s="1"/>
  <c r="J6" i="6"/>
  <c r="J10" i="5"/>
  <c r="J32" i="6"/>
  <c r="J70" i="5"/>
  <c r="J33" i="6"/>
  <c r="J74" i="5"/>
  <c r="J51" i="5"/>
  <c r="K8" i="6"/>
  <c r="L22" i="5"/>
  <c r="L7" i="6"/>
  <c r="G6" i="9"/>
  <c r="G8" i="9" s="1"/>
  <c r="G13" i="9" s="1"/>
  <c r="G9" i="6"/>
  <c r="F28" i="1"/>
  <c r="G26" i="5"/>
  <c r="G27" i="6"/>
  <c r="D12" i="12"/>
  <c r="D22" i="12"/>
  <c r="D32" i="12"/>
  <c r="F14" i="9"/>
  <c r="F21" i="9"/>
  <c r="L31" i="6"/>
  <c r="L73" i="5"/>
  <c r="C30" i="1"/>
  <c r="D38" i="6"/>
  <c r="E10" i="6"/>
  <c r="E16" i="6"/>
  <c r="E59" i="5"/>
  <c r="E63" i="5" s="1"/>
  <c r="D29" i="1"/>
  <c r="E66" i="5"/>
  <c r="E76" i="5" s="1"/>
  <c r="E32" i="5"/>
  <c r="M36" i="5"/>
  <c r="M47" i="5"/>
  <c r="I11" i="9"/>
  <c r="K9" i="5"/>
  <c r="K7" i="5"/>
  <c r="K38" i="5"/>
  <c r="K71" i="5" s="1"/>
  <c r="K48" i="5"/>
  <c r="K37" i="5"/>
  <c r="M13" i="5"/>
  <c r="M19" i="5" s="1"/>
  <c r="M44" i="4"/>
  <c r="N31" i="4"/>
  <c r="N16" i="5" s="1"/>
  <c r="N38" i="4"/>
  <c r="N8" i="5"/>
  <c r="M30" i="6" l="1"/>
  <c r="M69" i="5"/>
  <c r="E81" i="5"/>
  <c r="E83" i="5" s="1"/>
  <c r="E35" i="5" s="1"/>
  <c r="F94" i="5" s="1"/>
  <c r="E53" i="5"/>
  <c r="G21" i="9"/>
  <c r="E32" i="12"/>
  <c r="E22" i="12"/>
  <c r="G14" i="9"/>
  <c r="E12" i="12"/>
  <c r="L8" i="6"/>
  <c r="L9" i="5"/>
  <c r="L7" i="5"/>
  <c r="L37" i="5"/>
  <c r="L38" i="5"/>
  <c r="L71" i="5" s="1"/>
  <c r="L48" i="5"/>
  <c r="H67" i="5"/>
  <c r="H9" i="9"/>
  <c r="H25" i="5"/>
  <c r="M31" i="6"/>
  <c r="M73" i="5"/>
  <c r="H39" i="5"/>
  <c r="D30" i="1"/>
  <c r="E38" i="6"/>
  <c r="N13" i="5"/>
  <c r="N19" i="5" s="1"/>
  <c r="N44" i="4"/>
  <c r="N47" i="5"/>
  <c r="N36" i="5"/>
  <c r="M7" i="6"/>
  <c r="M22" i="5"/>
  <c r="J11" i="9"/>
  <c r="N37" i="4"/>
  <c r="N41" i="4" s="1"/>
  <c r="N77" i="5"/>
  <c r="K31" i="12"/>
  <c r="K11" i="12"/>
  <c r="K21" i="12"/>
  <c r="K32" i="6"/>
  <c r="K70" i="5"/>
  <c r="K33" i="6"/>
  <c r="K74" i="5"/>
  <c r="K51" i="5"/>
  <c r="M34" i="6"/>
  <c r="M78" i="5"/>
  <c r="M10" i="9"/>
  <c r="K10" i="5"/>
  <c r="K6" i="6"/>
  <c r="M6" i="5"/>
  <c r="E93" i="5" l="1"/>
  <c r="F27" i="5"/>
  <c r="F29" i="5" s="1"/>
  <c r="L70" i="5"/>
  <c r="L32" i="6"/>
  <c r="L33" i="6"/>
  <c r="M8" i="6"/>
  <c r="N31" i="6"/>
  <c r="N73" i="5"/>
  <c r="K11" i="9"/>
  <c r="F58" i="5"/>
  <c r="E42" i="6"/>
  <c r="E14" i="6"/>
  <c r="E25" i="6"/>
  <c r="E13" i="6"/>
  <c r="E12" i="6"/>
  <c r="E54" i="5"/>
  <c r="E11" i="6"/>
  <c r="L6" i="6"/>
  <c r="L10" i="5"/>
  <c r="N30" i="6"/>
  <c r="N69" i="5"/>
  <c r="L31" i="12"/>
  <c r="L11" i="12"/>
  <c r="L21" i="12"/>
  <c r="N22" i="5"/>
  <c r="N7" i="6"/>
  <c r="N55" i="9"/>
  <c r="N57" i="9" s="1"/>
  <c r="M37" i="5"/>
  <c r="M9" i="5"/>
  <c r="M38" i="5"/>
  <c r="M71" i="5" s="1"/>
  <c r="M48" i="5"/>
  <c r="M7" i="5"/>
  <c r="I91" i="5"/>
  <c r="I23" i="5" s="1"/>
  <c r="I39" i="5"/>
  <c r="C38" i="1"/>
  <c r="N31" i="9"/>
  <c r="N33" i="9" s="1"/>
  <c r="E92" i="5"/>
  <c r="E44" i="5"/>
  <c r="C40" i="1"/>
  <c r="F82" i="5"/>
  <c r="H26" i="5"/>
  <c r="G28" i="1"/>
  <c r="H9" i="6"/>
  <c r="H6" i="9"/>
  <c r="H8" i="9" s="1"/>
  <c r="H13" i="9" s="1"/>
  <c r="H27" i="6"/>
  <c r="N10" i="9"/>
  <c r="N78" i="5"/>
  <c r="N34" i="6"/>
  <c r="N6" i="5"/>
  <c r="L74" i="5"/>
  <c r="L51" i="5"/>
  <c r="N46" i="9" l="1"/>
  <c r="N47" i="9" s="1"/>
  <c r="D19" i="10"/>
  <c r="D20" i="10" s="1"/>
  <c r="D24" i="10" s="1"/>
  <c r="N48" i="5"/>
  <c r="N9" i="5"/>
  <c r="N38" i="5"/>
  <c r="N71" i="5" s="1"/>
  <c r="N37" i="5"/>
  <c r="N7" i="5"/>
  <c r="M74" i="5"/>
  <c r="M51" i="5"/>
  <c r="H21" i="9"/>
  <c r="F32" i="12"/>
  <c r="H14" i="9"/>
  <c r="F12" i="12"/>
  <c r="F22" i="12"/>
  <c r="E18" i="6"/>
  <c r="E55" i="5"/>
  <c r="D34" i="1" s="1"/>
  <c r="E17" i="6"/>
  <c r="E26" i="6"/>
  <c r="E23" i="6"/>
  <c r="E13" i="11"/>
  <c r="F13" i="11" s="1"/>
  <c r="D31" i="1"/>
  <c r="E39" i="6"/>
  <c r="E40" i="6"/>
  <c r="E24" i="6"/>
  <c r="C14" i="1"/>
  <c r="E41" i="6"/>
  <c r="F27" i="11"/>
  <c r="H27" i="11" s="1"/>
  <c r="F28" i="11"/>
  <c r="H28" i="11" s="1"/>
  <c r="J91" i="5"/>
  <c r="J23" i="5" s="1"/>
  <c r="I9" i="9"/>
  <c r="I67" i="5"/>
  <c r="I25" i="5"/>
  <c r="M10" i="5"/>
  <c r="M6" i="6"/>
  <c r="M70" i="5"/>
  <c r="M11" i="9" s="1"/>
  <c r="M32" i="6"/>
  <c r="M33" i="6"/>
  <c r="N8" i="6"/>
  <c r="L11" i="9"/>
  <c r="F30" i="5"/>
  <c r="F33" i="5"/>
  <c r="E19" i="6" l="1"/>
  <c r="E20" i="6" s="1"/>
  <c r="C37" i="1" s="1"/>
  <c r="J39" i="5"/>
  <c r="K91" i="5" s="1"/>
  <c r="K23" i="5" s="1"/>
  <c r="N32" i="6"/>
  <c r="N70" i="5"/>
  <c r="N33" i="6"/>
  <c r="I9" i="6"/>
  <c r="I27" i="6"/>
  <c r="I26" i="5"/>
  <c r="I6" i="9"/>
  <c r="I8" i="9" s="1"/>
  <c r="I13" i="9" s="1"/>
  <c r="J67" i="5"/>
  <c r="J9" i="9"/>
  <c r="J25" i="5"/>
  <c r="F16" i="6"/>
  <c r="F10" i="6"/>
  <c r="F59" i="5"/>
  <c r="F63" i="5" s="1"/>
  <c r="F66" i="5"/>
  <c r="F76" i="5" s="1"/>
  <c r="F32" i="5"/>
  <c r="E29" i="1"/>
  <c r="N6" i="6"/>
  <c r="N10" i="5"/>
  <c r="N74" i="5"/>
  <c r="N51" i="5"/>
  <c r="I13" i="11"/>
  <c r="I14" i="11" s="1"/>
  <c r="D21" i="11"/>
  <c r="E21" i="11" s="1"/>
  <c r="E23" i="11" s="1"/>
  <c r="J13" i="11"/>
  <c r="J15" i="11" s="1"/>
  <c r="C18" i="1"/>
  <c r="E18" i="1" s="1"/>
  <c r="D25" i="10"/>
  <c r="K39" i="5" l="1"/>
  <c r="L91" i="5" s="1"/>
  <c r="L23" i="5" s="1"/>
  <c r="N11" i="9"/>
  <c r="F38" i="6"/>
  <c r="E30" i="1"/>
  <c r="J9" i="6"/>
  <c r="J27" i="6"/>
  <c r="J26" i="5"/>
  <c r="J6" i="9"/>
  <c r="J8" i="9" s="1"/>
  <c r="J13" i="9" s="1"/>
  <c r="G32" i="12"/>
  <c r="G22" i="12"/>
  <c r="G12" i="12"/>
  <c r="I14" i="9"/>
  <c r="I21" i="9"/>
  <c r="F81" i="5"/>
  <c r="F83" i="5" s="1"/>
  <c r="F35" i="5" s="1"/>
  <c r="G94" i="5" s="1"/>
  <c r="F53" i="5"/>
  <c r="K9" i="9"/>
  <c r="K67" i="5"/>
  <c r="K25" i="5"/>
  <c r="F93" i="5" l="1"/>
  <c r="G27" i="5"/>
  <c r="G29" i="5" s="1"/>
  <c r="L39" i="5"/>
  <c r="M91" i="5" s="1"/>
  <c r="M23" i="5" s="1"/>
  <c r="F92" i="5"/>
  <c r="G82" i="5"/>
  <c r="F44" i="5"/>
  <c r="H22" i="12"/>
  <c r="J14" i="9"/>
  <c r="H12" i="12"/>
  <c r="H32" i="12"/>
  <c r="J21" i="9"/>
  <c r="K26" i="5"/>
  <c r="K9" i="6"/>
  <c r="K6" i="9"/>
  <c r="K8" i="9" s="1"/>
  <c r="K13" i="9" s="1"/>
  <c r="K27" i="6"/>
  <c r="L9" i="9"/>
  <c r="L67" i="5"/>
  <c r="L25" i="5"/>
  <c r="G58" i="5"/>
  <c r="F42" i="6"/>
  <c r="F14" i="6"/>
  <c r="F25" i="6"/>
  <c r="F54" i="5"/>
  <c r="F12" i="6"/>
  <c r="F13" i="6"/>
  <c r="F11" i="6"/>
  <c r="D38" i="1"/>
  <c r="L26" i="5" l="1"/>
  <c r="L6" i="9"/>
  <c r="L8" i="9" s="1"/>
  <c r="L13" i="9" s="1"/>
  <c r="L27" i="6"/>
  <c r="L9" i="6"/>
  <c r="G30" i="5"/>
  <c r="F18" i="6"/>
  <c r="F55" i="5"/>
  <c r="E34" i="1" s="1"/>
  <c r="F17" i="6"/>
  <c r="M9" i="9"/>
  <c r="M67" i="5"/>
  <c r="M25" i="5"/>
  <c r="M39" i="5"/>
  <c r="F23" i="6"/>
  <c r="F26" i="6"/>
  <c r="F40" i="6"/>
  <c r="F24" i="6"/>
  <c r="F39" i="6"/>
  <c r="E31" i="1"/>
  <c r="F41" i="6"/>
  <c r="I22" i="12"/>
  <c r="I12" i="12"/>
  <c r="I32" i="12"/>
  <c r="K14" i="9"/>
  <c r="K21" i="9"/>
  <c r="F19" i="6" l="1"/>
  <c r="F20" i="6" s="1"/>
  <c r="D37" i="1" s="1"/>
  <c r="N91" i="5"/>
  <c r="N23" i="5" s="1"/>
  <c r="M27" i="6"/>
  <c r="M9" i="6"/>
  <c r="M26" i="5"/>
  <c r="M6" i="9"/>
  <c r="M8" i="9" s="1"/>
  <c r="M13" i="9" s="1"/>
  <c r="G66" i="5"/>
  <c r="G76" i="5" s="1"/>
  <c r="F29" i="1"/>
  <c r="G32" i="5"/>
  <c r="G16" i="6"/>
  <c r="G10" i="6"/>
  <c r="G59" i="5"/>
  <c r="G63" i="5" s="1"/>
  <c r="G33" i="5"/>
  <c r="J32" i="12"/>
  <c r="J22" i="12"/>
  <c r="J12" i="12"/>
  <c r="L14" i="9"/>
  <c r="L21" i="9"/>
  <c r="G53" i="5" l="1"/>
  <c r="G81" i="5"/>
  <c r="G83" i="5" s="1"/>
  <c r="G35" i="5" s="1"/>
  <c r="H94" i="5" s="1"/>
  <c r="F30" i="1"/>
  <c r="G38" i="6"/>
  <c r="M21" i="9"/>
  <c r="K32" i="12"/>
  <c r="K22" i="12"/>
  <c r="K12" i="12"/>
  <c r="M14" i="9"/>
  <c r="N67" i="5"/>
  <c r="N9" i="9"/>
  <c r="N25" i="5"/>
  <c r="N39" i="5"/>
  <c r="G93" i="5" l="1"/>
  <c r="H27" i="5"/>
  <c r="H29" i="5" s="1"/>
  <c r="H58" i="5"/>
  <c r="G42" i="6"/>
  <c r="G25" i="6"/>
  <c r="G14" i="6"/>
  <c r="G54" i="5"/>
  <c r="G12" i="6"/>
  <c r="G13" i="6"/>
  <c r="G11" i="6"/>
  <c r="N26" i="5"/>
  <c r="N27" i="6"/>
  <c r="N9" i="6"/>
  <c r="N6" i="9"/>
  <c r="N8" i="9" s="1"/>
  <c r="N13" i="9" s="1"/>
  <c r="G92" i="5"/>
  <c r="H82" i="5"/>
  <c r="G44" i="5"/>
  <c r="E38" i="1"/>
  <c r="G18" i="6" l="1"/>
  <c r="G55" i="5"/>
  <c r="F34" i="1" s="1"/>
  <c r="G17" i="6"/>
  <c r="G23" i="6"/>
  <c r="G26" i="6"/>
  <c r="F31" i="1"/>
  <c r="G39" i="6"/>
  <c r="G24" i="6"/>
  <c r="G40" i="6"/>
  <c r="G41" i="6"/>
  <c r="H30" i="5"/>
  <c r="L12" i="12"/>
  <c r="M13" i="12" s="1"/>
  <c r="L32" i="12"/>
  <c r="M33" i="12" s="1"/>
  <c r="N26" i="9"/>
  <c r="N21" i="9"/>
  <c r="N24" i="9" s="1"/>
  <c r="N14" i="9"/>
  <c r="L22" i="12"/>
  <c r="M23" i="12" s="1"/>
  <c r="C10" i="8"/>
  <c r="C18" i="8" s="1"/>
  <c r="E10" i="8"/>
  <c r="E18" i="8" s="1"/>
  <c r="G11" i="8"/>
  <c r="G19" i="8" s="1"/>
  <c r="F8" i="8"/>
  <c r="F16" i="8" s="1"/>
  <c r="E7" i="8"/>
  <c r="E15" i="8" s="1"/>
  <c r="D7" i="8"/>
  <c r="D15" i="8" s="1"/>
  <c r="E11" i="8"/>
  <c r="E19" i="8" s="1"/>
  <c r="D8" i="8"/>
  <c r="D16" i="8" s="1"/>
  <c r="G9" i="8"/>
  <c r="G17" i="8" s="1"/>
  <c r="G7" i="8"/>
  <c r="G15" i="8" s="1"/>
  <c r="G8" i="8"/>
  <c r="G16" i="8" s="1"/>
  <c r="D11" i="8"/>
  <c r="D19" i="8" s="1"/>
  <c r="E8" i="8"/>
  <c r="E16" i="8" s="1"/>
  <c r="F10" i="8"/>
  <c r="F18" i="8" s="1"/>
  <c r="E9" i="8"/>
  <c r="E17" i="8" s="1"/>
  <c r="F9" i="8"/>
  <c r="F17" i="8" s="1"/>
  <c r="D10" i="8"/>
  <c r="D18" i="8" s="1"/>
  <c r="F7" i="8"/>
  <c r="F15" i="8" s="1"/>
  <c r="C11" i="8"/>
  <c r="C19" i="8" s="1"/>
  <c r="D9" i="8"/>
  <c r="D17" i="8" s="1"/>
  <c r="G10" i="8"/>
  <c r="G18" i="8" s="1"/>
  <c r="C9" i="8"/>
  <c r="C17" i="8" s="1"/>
  <c r="F11" i="8"/>
  <c r="F19" i="8" s="1"/>
  <c r="C7" i="8"/>
  <c r="C15" i="8" s="1"/>
  <c r="C8" i="8"/>
  <c r="C16" i="8" s="1"/>
  <c r="G19" i="6" l="1"/>
  <c r="G20" i="6" s="1"/>
  <c r="E37" i="1" s="1"/>
  <c r="N48" i="9"/>
  <c r="N49" i="9" s="1"/>
  <c r="N50" i="9" s="1"/>
  <c r="N58" i="9"/>
  <c r="N59" i="9" s="1"/>
  <c r="G29" i="1"/>
  <c r="H32" i="5"/>
  <c r="H16" i="6"/>
  <c r="H10" i="6"/>
  <c r="H59" i="5"/>
  <c r="H63" i="5" s="1"/>
  <c r="H66" i="5"/>
  <c r="H76" i="5" s="1"/>
  <c r="D39" i="12"/>
  <c r="M24" i="12"/>
  <c r="N30" i="9"/>
  <c r="N27" i="9"/>
  <c r="D40" i="12"/>
  <c r="M34" i="12"/>
  <c r="D38" i="12"/>
  <c r="M14" i="12"/>
  <c r="H33" i="5"/>
  <c r="G38" i="12" l="1"/>
  <c r="E38" i="12"/>
  <c r="G40" i="12"/>
  <c r="E40" i="12"/>
  <c r="G39" i="12"/>
  <c r="E39" i="12"/>
  <c r="H81" i="5"/>
  <c r="H83" i="5" s="1"/>
  <c r="H35" i="5" s="1"/>
  <c r="I94" i="5" s="1"/>
  <c r="H53" i="5"/>
  <c r="F38" i="1"/>
  <c r="G30" i="1"/>
  <c r="H38" i="6"/>
  <c r="N43" i="9"/>
  <c r="N51" i="9"/>
  <c r="N28" i="9"/>
  <c r="N35" i="9" s="1"/>
  <c r="N39" i="9" s="1"/>
  <c r="H93" i="5" l="1"/>
  <c r="I27" i="5"/>
  <c r="I29" i="5" s="1"/>
  <c r="C17" i="1"/>
  <c r="E17" i="1" s="1"/>
  <c r="N41" i="9"/>
  <c r="N60" i="9"/>
  <c r="I58" i="5"/>
  <c r="H25" i="6"/>
  <c r="H42" i="6"/>
  <c r="H14" i="6"/>
  <c r="H54" i="5"/>
  <c r="H13" i="6"/>
  <c r="H12" i="6"/>
  <c r="H11" i="6"/>
  <c r="I82" i="5"/>
  <c r="H92" i="5"/>
  <c r="H44" i="5"/>
  <c r="N29" i="9"/>
  <c r="G41" i="12"/>
  <c r="E21" i="1" s="1"/>
  <c r="H18" i="6" l="1"/>
  <c r="H55" i="5"/>
  <c r="G34" i="1" s="1"/>
  <c r="H17" i="6"/>
  <c r="H26" i="6"/>
  <c r="H24" i="6"/>
  <c r="H40" i="6"/>
  <c r="H23" i="6"/>
  <c r="G31" i="1"/>
  <c r="H39" i="6"/>
  <c r="H41" i="6"/>
  <c r="I30" i="5"/>
  <c r="H19" i="6" l="1"/>
  <c r="H20" i="6" s="1"/>
  <c r="F37" i="1" s="1"/>
  <c r="I10" i="6"/>
  <c r="I59" i="5"/>
  <c r="I63" i="5" s="1"/>
  <c r="I16" i="6"/>
  <c r="I66" i="5"/>
  <c r="I76" i="5" s="1"/>
  <c r="I32" i="5"/>
  <c r="I33" i="5"/>
  <c r="I38" i="6" l="1"/>
  <c r="C29" i="11"/>
  <c r="H29" i="11" s="1"/>
  <c r="H30" i="11" s="1"/>
  <c r="H31" i="11" s="1"/>
  <c r="I81" i="5"/>
  <c r="I83" i="5" s="1"/>
  <c r="I35" i="5" s="1"/>
  <c r="J94" i="5" s="1"/>
  <c r="I53" i="5"/>
  <c r="G38" i="1" s="1"/>
  <c r="I93" i="5" l="1"/>
  <c r="J27" i="5"/>
  <c r="J29" i="5" s="1"/>
  <c r="J58" i="5"/>
  <c r="I42" i="6"/>
  <c r="I25" i="6"/>
  <c r="I14" i="6"/>
  <c r="I54" i="5"/>
  <c r="I13" i="6"/>
  <c r="I12" i="6"/>
  <c r="I11" i="6"/>
  <c r="I92" i="5"/>
  <c r="J82" i="5"/>
  <c r="I44" i="5"/>
  <c r="H32" i="11"/>
  <c r="C19" i="1"/>
  <c r="E19" i="1" s="1"/>
  <c r="E20" i="1" s="1"/>
  <c r="C8" i="1" s="1"/>
  <c r="D10" i="3" l="1"/>
  <c r="C9" i="1"/>
  <c r="C10" i="1" s="1"/>
  <c r="J30" i="5"/>
  <c r="I18" i="6"/>
  <c r="I55" i="5"/>
  <c r="H34" i="1" s="1"/>
  <c r="I17" i="6"/>
  <c r="I24" i="6"/>
  <c r="I26" i="6"/>
  <c r="I23" i="6"/>
  <c r="I40" i="6"/>
  <c r="I39" i="6"/>
  <c r="I41" i="6"/>
  <c r="I19" i="6" l="1"/>
  <c r="I20" i="6" s="1"/>
  <c r="G37" i="1" s="1"/>
  <c r="J10" i="6"/>
  <c r="J59" i="5"/>
  <c r="J63" i="5" s="1"/>
  <c r="J66" i="5"/>
  <c r="J76" i="5" s="1"/>
  <c r="J16" i="6"/>
  <c r="J32" i="5"/>
  <c r="J38" i="6" s="1"/>
  <c r="J33" i="5"/>
  <c r="J81" i="5" l="1"/>
  <c r="J83" i="5" s="1"/>
  <c r="J35" i="5" s="1"/>
  <c r="K94" i="5" s="1"/>
  <c r="J53" i="5"/>
  <c r="H38" i="1" s="1"/>
  <c r="J93" i="5" l="1"/>
  <c r="J42" i="6"/>
  <c r="K58" i="5"/>
  <c r="J25" i="6"/>
  <c r="J14" i="6"/>
  <c r="J54" i="5"/>
  <c r="J12" i="6"/>
  <c r="J13" i="6"/>
  <c r="J11" i="6"/>
  <c r="J44" i="5"/>
  <c r="J92" i="5"/>
  <c r="K82" i="5"/>
  <c r="K27" i="5"/>
  <c r="K29" i="5" s="1"/>
  <c r="K30" i="5" l="1"/>
  <c r="K33" i="5" s="1"/>
  <c r="J26" i="6"/>
  <c r="J40" i="6"/>
  <c r="J24" i="6"/>
  <c r="J23" i="6"/>
  <c r="J41" i="6"/>
  <c r="J39" i="6"/>
  <c r="J55" i="5"/>
  <c r="I34" i="1" s="1"/>
  <c r="J18" i="6"/>
  <c r="J17" i="6"/>
  <c r="J19" i="6" l="1"/>
  <c r="J20" i="6" s="1"/>
  <c r="H37" i="1" s="1"/>
  <c r="K66" i="5"/>
  <c r="K76" i="5" s="1"/>
  <c r="K10" i="6"/>
  <c r="K59" i="5"/>
  <c r="K63" i="5" s="1"/>
  <c r="K32" i="5"/>
  <c r="K38" i="6" s="1"/>
  <c r="K16" i="6"/>
  <c r="K53" i="5" l="1"/>
  <c r="I38" i="1"/>
  <c r="K81" i="5"/>
  <c r="K83" i="5" s="1"/>
  <c r="K35" i="5" s="1"/>
  <c r="L94" i="5" s="1"/>
  <c r="K93" i="5" l="1"/>
  <c r="K92" i="5"/>
  <c r="L82" i="5"/>
  <c r="L27" i="5"/>
  <c r="L29" i="5" s="1"/>
  <c r="K44" i="5"/>
  <c r="L58" i="5"/>
  <c r="K42" i="6"/>
  <c r="K25" i="6"/>
  <c r="K14" i="6"/>
  <c r="K54" i="5"/>
  <c r="K13" i="6"/>
  <c r="K12" i="6"/>
  <c r="K11" i="6"/>
  <c r="K18" i="6" l="1"/>
  <c r="K55" i="5"/>
  <c r="J34" i="1" s="1"/>
  <c r="K17" i="6"/>
  <c r="K19" i="6" s="1"/>
  <c r="K20" i="6" s="1"/>
  <c r="I37" i="1" s="1"/>
  <c r="L30" i="5"/>
  <c r="K23" i="6"/>
  <c r="K26" i="6"/>
  <c r="K24" i="6"/>
  <c r="K39" i="6"/>
  <c r="K40" i="6"/>
  <c r="K41" i="6"/>
  <c r="L10" i="6" l="1"/>
  <c r="L66" i="5"/>
  <c r="L76" i="5" s="1"/>
  <c r="L32" i="5"/>
  <c r="L38" i="6" s="1"/>
  <c r="L16" i="6"/>
  <c r="L59" i="5"/>
  <c r="L63" i="5" s="1"/>
  <c r="L33" i="5"/>
  <c r="L53" i="5" l="1"/>
  <c r="J38" i="1" s="1"/>
  <c r="L81" i="5"/>
  <c r="L83" i="5" s="1"/>
  <c r="L35" i="5" s="1"/>
  <c r="M94" i="5" s="1"/>
  <c r="L93" i="5" l="1"/>
  <c r="L44" i="5"/>
  <c r="M82" i="5"/>
  <c r="L92" i="5"/>
  <c r="M27" i="5"/>
  <c r="M29" i="5" s="1"/>
  <c r="M58" i="5"/>
  <c r="L42" i="6"/>
  <c r="L25" i="6"/>
  <c r="L14" i="6"/>
  <c r="L54" i="5"/>
  <c r="L13" i="6"/>
  <c r="L12" i="6"/>
  <c r="L11" i="6"/>
  <c r="M30" i="5" l="1"/>
  <c r="M33" i="5" s="1"/>
  <c r="L26" i="6"/>
  <c r="L41" i="6"/>
  <c r="L24" i="6"/>
  <c r="L23" i="6"/>
  <c r="L39" i="6"/>
  <c r="L40" i="6"/>
  <c r="L55" i="5"/>
  <c r="K34" i="1" s="1"/>
  <c r="L18" i="6"/>
  <c r="L17" i="6"/>
  <c r="L19" i="6" l="1"/>
  <c r="L20" i="6" s="1"/>
  <c r="J37" i="1" s="1"/>
  <c r="M32" i="5"/>
  <c r="M38" i="6" s="1"/>
  <c r="M16" i="6"/>
  <c r="M10" i="6"/>
  <c r="M59" i="5"/>
  <c r="M63" i="5" s="1"/>
  <c r="M66" i="5"/>
  <c r="M76" i="5" s="1"/>
  <c r="M81" i="5" l="1"/>
  <c r="M83" i="5" s="1"/>
  <c r="M35" i="5" s="1"/>
  <c r="N94" i="5" s="1"/>
  <c r="M53" i="5"/>
  <c r="K38" i="1"/>
  <c r="M93" i="5" l="1"/>
  <c r="N58" i="5"/>
  <c r="M42" i="6"/>
  <c r="M25" i="6"/>
  <c r="M14" i="6"/>
  <c r="M54" i="5"/>
  <c r="M13" i="6"/>
  <c r="M12" i="6"/>
  <c r="M11" i="6"/>
  <c r="N82" i="5"/>
  <c r="M92" i="5"/>
  <c r="N27" i="5"/>
  <c r="N29" i="5" s="1"/>
  <c r="M44" i="5"/>
  <c r="M55" i="5" l="1"/>
  <c r="L34" i="1" s="1"/>
  <c r="M18" i="6"/>
  <c r="M17" i="6"/>
  <c r="M19" i="6" s="1"/>
  <c r="M20" i="6" s="1"/>
  <c r="K37" i="1" s="1"/>
  <c r="N30" i="5"/>
  <c r="M24" i="6"/>
  <c r="M26" i="6"/>
  <c r="M39" i="6"/>
  <c r="M23" i="6"/>
  <c r="M40" i="6"/>
  <c r="M41" i="6"/>
  <c r="N32" i="5" l="1"/>
  <c r="N38" i="6" s="1"/>
  <c r="N10" i="6"/>
  <c r="N59" i="5"/>
  <c r="N63" i="5" s="1"/>
  <c r="N66" i="5"/>
  <c r="N76" i="5" s="1"/>
  <c r="N16" i="6"/>
  <c r="N33" i="5"/>
  <c r="N81" i="5" l="1"/>
  <c r="N83" i="5" s="1"/>
  <c r="N35" i="5" s="1"/>
  <c r="N93" i="5" s="1"/>
  <c r="N53" i="5"/>
  <c r="L38" i="1" s="1"/>
  <c r="N42" i="6" l="1"/>
  <c r="N25" i="6"/>
  <c r="N14" i="6"/>
  <c r="N54" i="5"/>
  <c r="N12" i="6"/>
  <c r="N13" i="6"/>
  <c r="N11" i="6"/>
  <c r="N44" i="5"/>
  <c r="N92" i="5"/>
  <c r="N23" i="6" l="1"/>
  <c r="N24" i="6"/>
  <c r="N40" i="6"/>
  <c r="N26" i="6"/>
  <c r="N39" i="6"/>
  <c r="N41" i="6"/>
  <c r="N55" i="5"/>
  <c r="M34" i="1" s="1"/>
  <c r="N18" i="6"/>
  <c r="N17" i="6"/>
  <c r="N19" i="6" l="1"/>
  <c r="N20" i="6" s="1"/>
  <c r="L37" i="1" s="1"/>
</calcChain>
</file>

<file path=xl/sharedStrings.xml><?xml version="1.0" encoding="utf-8"?>
<sst xmlns="http://schemas.openxmlformats.org/spreadsheetml/2006/main" count="895" uniqueCount="516">
  <si>
    <t>ETERNAL LIMITED  (NSE: ETERNAL · BSE: 543320 · formerly Zomato Ltd)</t>
  </si>
  <si>
    <t>Date - March 2nd, 2026.</t>
  </si>
  <si>
    <t>#</t>
  </si>
  <si>
    <t>RATING</t>
  </si>
  <si>
    <t>BUY</t>
  </si>
  <si>
    <t>Current market price (2-Mar-2026)</t>
  </si>
  <si>
    <t>12-month target price</t>
  </si>
  <si>
    <t>Implied price upside</t>
  </si>
  <si>
    <t>Implied total return</t>
  </si>
  <si>
    <t>Market capitalisation (₹ cr)</t>
  </si>
  <si>
    <t>Shares outstanding (crore)</t>
  </si>
  <si>
    <t>Net cash after lease liabilities, FY26E (₹ cr)</t>
  </si>
  <si>
    <t>VALUATION TRIANGULATION</t>
  </si>
  <si>
    <t>Value/share</t>
  </si>
  <si>
    <t>Weight</t>
  </si>
  <si>
    <t>Contribution</t>
  </si>
  <si>
    <t>Discounted cash flow (FCFF, 9-year explicit to FY35E)</t>
  </si>
  <si>
    <t>Sum-of-the-parts on FY30E segment metrics</t>
  </si>
  <si>
    <t xml:space="preserve"> </t>
  </si>
  <si>
    <t>Relative valuation, three routes triangulated (see Comps)</t>
  </si>
  <si>
    <t>Blended fair value</t>
  </si>
  <si>
    <t>Probability-weighted scenario value</t>
  </si>
  <si>
    <t>KEY FINANCIALS (₹ cr)</t>
  </si>
  <si>
    <t>FY25A</t>
  </si>
  <si>
    <t>FY26E</t>
  </si>
  <si>
    <t>FY27E</t>
  </si>
  <si>
    <t>FY28E</t>
  </si>
  <si>
    <t>FY29E</t>
  </si>
  <si>
    <t>Net order value, B2C (₹ cr)</t>
  </si>
  <si>
    <t>Revenue from operations (₹ cr)</t>
  </si>
  <si>
    <t>Adjusted EBITDA (₹ cr)</t>
  </si>
  <si>
    <t>Adjusted EBITDA margin on NOV</t>
  </si>
  <si>
    <t>EBIT (₹ cr)</t>
  </si>
  <si>
    <t>PAT (₹ cr)</t>
  </si>
  <si>
    <t>EPS (₹)</t>
  </si>
  <si>
    <t>EV / NOV (x)</t>
  </si>
  <si>
    <t>AUDIT CHECKS</t>
  </si>
  <si>
    <t>Model balance sheet check, FY25A-FY35E (all must be zero)</t>
  </si>
  <si>
    <t>Segment revenue build vs reported, FY25A (₹ cr)</t>
  </si>
  <si>
    <t>Q3FY26 segment NOV build vs disclosed B2C NOV (₹ cr)</t>
  </si>
  <si>
    <t>DuPont ROE vs direct ROE, FY26E-FY35E (must be zero)</t>
  </si>
  <si>
    <t>Equity roll-forward vs balance sheet, FY26E-FY35E (must be zero)</t>
  </si>
  <si>
    <t>Scenario probabilities sum to 100%</t>
  </si>
  <si>
    <t>FY26E closing cash vs disclosed 31-Dec-25 balance (₹ cr, informational)</t>
  </si>
  <si>
    <t>Reported historical balance sheet check, FY21A-FY25A (must be zero)</t>
  </si>
  <si>
    <t>Model FY25A revenue vs reported FY25A (₹ cr, informational)</t>
  </si>
  <si>
    <t>Explicit forecast horizon extended to FY35E; historicals now run as one continuous income statement, balance sheet and cash flow from FY21A.</t>
  </si>
  <si>
    <t xml:space="preserve">Reported Historicals </t>
  </si>
  <si>
    <t>Reported financials</t>
  </si>
  <si>
    <t>Units</t>
  </si>
  <si>
    <t>FY21A</t>
  </si>
  <si>
    <t>FY22A</t>
  </si>
  <si>
    <t>FY23A</t>
  </si>
  <si>
    <t>FY24A</t>
  </si>
  <si>
    <t>Q3FY26A</t>
  </si>
  <si>
    <t>9MFY26A</t>
  </si>
  <si>
    <t>1.  CONSOLIDATED INCOME STATEMENT (₹ cr)</t>
  </si>
  <si>
    <t>Revenue from operations</t>
  </si>
  <si>
    <t>₹ cr</t>
  </si>
  <si>
    <t xml:space="preserve">    YoY growth</t>
  </si>
  <si>
    <t>%</t>
  </si>
  <si>
    <t>Total operating expenditure (ex-D&amp;A, ex-finance costs)</t>
  </si>
  <si>
    <t>Other income (treasury &amp; fair-value)</t>
  </si>
  <si>
    <t>Depreciation &amp; amortisation</t>
  </si>
  <si>
    <t>Finance costs</t>
  </si>
  <si>
    <t>Tax (expense) / credit</t>
  </si>
  <si>
    <t>Profit after tax</t>
  </si>
  <si>
    <t>EPS - basic</t>
  </si>
  <si>
    <t>₹</t>
  </si>
  <si>
    <t>2.  CONSOLIDATED BALANCE SHEET (₹ cr) - as reported</t>
  </si>
  <si>
    <t>Equity share capital</t>
  </si>
  <si>
    <t>Other equity (reserves &amp; surplus)</t>
  </si>
  <si>
    <t>TOTAL EQUITY</t>
  </si>
  <si>
    <t>Lease liabilities &amp; borrowings</t>
  </si>
  <si>
    <t>Other liabilities (payables, provisions, other)</t>
  </si>
  <si>
    <t>TOTAL LIABILITIES</t>
  </si>
  <si>
    <t>TOTAL EQUITY &amp; LIABILITIES</t>
  </si>
  <si>
    <t>Fixed assets (PP&amp;E, ROU, goodwill, intangibles)</t>
  </si>
  <si>
    <t>Capital work in progress</t>
  </si>
  <si>
    <t>Investments (treasury portfolio)</t>
  </si>
  <si>
    <t>Other assets (cash, inventory, receivables, other)</t>
  </si>
  <si>
    <t>TOTAL ASSETS</t>
  </si>
  <si>
    <t>Balance check (must be zero)</t>
  </si>
  <si>
    <t>Memo: net cash &amp; investments</t>
  </si>
  <si>
    <t>3.  CONSOLIDATED CASH FLOW STATEMENT (₹ cr) - as reported</t>
  </si>
  <si>
    <t>Cash from operating activities</t>
  </si>
  <si>
    <t>Cash from investing activities</t>
  </si>
  <si>
    <t>Cash from financing activities</t>
  </si>
  <si>
    <t>Net change in cash</t>
  </si>
  <si>
    <t>Free cash flow (CFO less capex)</t>
  </si>
  <si>
    <t>Implied capital expenditure</t>
  </si>
  <si>
    <t>Operating cash flow as % of EBITDA</t>
  </si>
  <si>
    <t xml:space="preserve">4.  DERIVED WORKING-CAPITAL AND RETURN TRENDS </t>
  </si>
  <si>
    <t>Inventory days</t>
  </si>
  <si>
    <t>days</t>
  </si>
  <si>
    <t>Debtor days</t>
  </si>
  <si>
    <t>Days payable</t>
  </si>
  <si>
    <t>Cash conversion cycle</t>
  </si>
  <si>
    <t>Working capital days</t>
  </si>
  <si>
    <t>Capex as % of revenue</t>
  </si>
  <si>
    <t>Return on capital employed</t>
  </si>
  <si>
    <t>Revenue growth, YoY</t>
  </si>
  <si>
    <t>Memo: model's forecast cash conversion cycle, FY27E</t>
  </si>
  <si>
    <t>5.  OPERATING EXPENDITURE DETAIL - disclosed by line only from FY25A</t>
  </si>
  <si>
    <t xml:space="preserve">    Purchases of stock-in-trade</t>
  </si>
  <si>
    <t xml:space="preserve">    Cost of materials consumed</t>
  </si>
  <si>
    <t xml:space="preserve">    Changes in inventories</t>
  </si>
  <si>
    <t xml:space="preserve">    Employee benefits expense</t>
  </si>
  <si>
    <t xml:space="preserve">    Advertisement &amp; sales promotion</t>
  </si>
  <si>
    <t xml:space="preserve">    Delivery &amp; related charges</t>
  </si>
  <si>
    <t xml:space="preserve">    Other expenses</t>
  </si>
  <si>
    <t>Total per expense detail</t>
  </si>
  <si>
    <t>Check vs total operating expenditure</t>
  </si>
  <si>
    <t>6.  SEGMENT REVENUE FROM EXTERNAL CUSTOMERS (₹ cr)</t>
  </si>
  <si>
    <t xml:space="preserve">    India food ordering &amp; delivery</t>
  </si>
  <si>
    <t xml:space="preserve">    Quick commerce (Blinkit)</t>
  </si>
  <si>
    <t xml:space="preserve">    Hyperpure supplies (B2B)</t>
  </si>
  <si>
    <t xml:space="preserve">    Going-out (District)</t>
  </si>
  <si>
    <t xml:space="preserve">    All other segments (residual)</t>
  </si>
  <si>
    <t>Total segment revenue</t>
  </si>
  <si>
    <t>Cross-check vs reported revenue (must be zero)</t>
  </si>
  <si>
    <t>7.  ADJUSTED EBITDA BY SEGMENT AND THE B2C NOV BUILD (₹ cr) - Q3 FY26</t>
  </si>
  <si>
    <t xml:space="preserve">    Adjusted EBITDA - food delivery</t>
  </si>
  <si>
    <t xml:space="preserve">    Adjusted EBITDA - quick commerce</t>
  </si>
  <si>
    <t xml:space="preserve">    Adjusted EBITDA - going-out</t>
  </si>
  <si>
    <t xml:space="preserve">    Adjusted EBITDA - Hyperpure</t>
  </si>
  <si>
    <t xml:space="preserve">    Adjusted EBITDA - other segments</t>
  </si>
  <si>
    <t>Consolidated adjusted EBITDA (disclosed ₹364cr)</t>
  </si>
  <si>
    <t>Implied NOV - food delivery (₹531cr ÷ 5.4%)</t>
  </si>
  <si>
    <t>Implied NOV - going-out (₹121cr ÷ 4.7%)</t>
  </si>
  <si>
    <t>NOV build vs disclosed B2C NOV of ₹25,732cr</t>
  </si>
  <si>
    <t xml:space="preserve">8.  OPERATING METRICS </t>
  </si>
  <si>
    <t xml:space="preserve">    Blinkit dark stores, period end</t>
  </si>
  <si>
    <t xml:space="preserve">    Net new dark stores added in period</t>
  </si>
  <si>
    <t xml:space="preserve">    Blinkit NOV</t>
  </si>
  <si>
    <t xml:space="preserve">    Blinkit NOV growth YoY</t>
  </si>
  <si>
    <t xml:space="preserve">    Blinkit NOV per store per day (₹ lakh, derived)</t>
  </si>
  <si>
    <t xml:space="preserve">    Share of Blinkit NOV on own inventory</t>
  </si>
  <si>
    <t>~90%</t>
  </si>
  <si>
    <t xml:space="preserve">    Food delivery NOV growth YoY</t>
  </si>
  <si>
    <t xml:space="preserve">    Food delivery GOV growth YoY</t>
  </si>
  <si>
    <t xml:space="preserve">    Food delivery adj. EBITDA margin on NOV</t>
  </si>
  <si>
    <t xml:space="preserve">    Blinkit adj. EBITDA margin on NOV</t>
  </si>
  <si>
    <t xml:space="preserve">    India quick commerce NOV share - Blinkit</t>
  </si>
  <si>
    <t xml:space="preserve">    India QC NOV share - Instamart / Zepto</t>
  </si>
  <si>
    <t>24% / 22%</t>
  </si>
  <si>
    <t>Assumptions &amp; Drivers</t>
  </si>
  <si>
    <t>Driver</t>
  </si>
  <si>
    <t>FY30E</t>
  </si>
  <si>
    <t>FY31E</t>
  </si>
  <si>
    <t>FY32E</t>
  </si>
  <si>
    <t>FY33E</t>
  </si>
  <si>
    <t>FY34E</t>
  </si>
  <si>
    <t>FY35E</t>
  </si>
  <si>
    <t>Current market price (CMP)</t>
  </si>
  <si>
    <t>₹/sh</t>
  </si>
  <si>
    <t>Shares outstanding</t>
  </si>
  <si>
    <t>crore</t>
  </si>
  <si>
    <t>Market capitalisation</t>
  </si>
  <si>
    <t>52-week high / low</t>
  </si>
  <si>
    <t>368.40 / 189.60</t>
  </si>
  <si>
    <t>Cash, deposits &amp; treasury investments, 31-Dec-2025</t>
  </si>
  <si>
    <t>QUICK COMMERCE (BLINKIT) - DARK-STORE ROLL-FORWARD</t>
  </si>
  <si>
    <t xml:space="preserve">    Dark stores, closing</t>
  </si>
  <si>
    <t>count</t>
  </si>
  <si>
    <t xml:space="preserve">    Net order value per store per day</t>
  </si>
  <si>
    <t>₹ lakh</t>
  </si>
  <si>
    <t xml:space="preserve">    Revenue as % of NOV</t>
  </si>
  <si>
    <t xml:space="preserve">    Adjusted EBITDA margin (% of NOV)</t>
  </si>
  <si>
    <t>FOOD DELIVERY (ZOMATO)</t>
  </si>
  <si>
    <t xml:space="preserve">    Net order value</t>
  </si>
  <si>
    <t xml:space="preserve">    NOV growth, YoY</t>
  </si>
  <si>
    <t>GOING-OUT (DISTRICT) AND HYPERPURE</t>
  </si>
  <si>
    <t xml:space="preserve">    Going-out net order value</t>
  </si>
  <si>
    <t xml:space="preserve">    Going-out NOV growth, YoY</t>
  </si>
  <si>
    <t xml:space="preserve">    Going-out revenue as % of NOV</t>
  </si>
  <si>
    <t xml:space="preserve">    Going-out adjusted EBITDA margin (% of NOV)</t>
  </si>
  <si>
    <t xml:space="preserve">    Hyperpure revenue</t>
  </si>
  <si>
    <t xml:space="preserve">    Hyperpure revenue growth, YoY</t>
  </si>
  <si>
    <t xml:space="preserve">    Hyperpure adjusted EBITDA margin (% of revenue)</t>
  </si>
  <si>
    <t xml:space="preserve">    Other segments revenue (Bistro, Nugget)</t>
  </si>
  <si>
    <t xml:space="preserve">    Other segments adjusted EBITDA</t>
  </si>
  <si>
    <t>COST, CAPITAL AND WORKING-CAPITAL DRIVERS</t>
  </si>
  <si>
    <t xml:space="preserve">    Share-based payment expense</t>
  </si>
  <si>
    <t xml:space="preserve">    Lease rent paid, per average dark store</t>
  </si>
  <si>
    <t xml:space="preserve">    Lease rent paid, offices &amp; warehouses</t>
  </si>
  <si>
    <t xml:space="preserve">    Lease liability per closing dark store</t>
  </si>
  <si>
    <t xml:space="preserve">    Lease liability, non-store (offices, warehouses)</t>
  </si>
  <si>
    <t xml:space="preserve">    Lease interest rate</t>
  </si>
  <si>
    <t xml:space="preserve">    Capital expenditure per new dark store</t>
  </si>
  <si>
    <t xml:space="preserve">    Warehousing capex, % of quick commerce NOV</t>
  </si>
  <si>
    <t xml:space="preserve">    Technology &amp; other capex, % of non-QC revenue</t>
  </si>
  <si>
    <t xml:space="preserve">    PP&amp;E depreciation rate on average net block</t>
  </si>
  <si>
    <t xml:space="preserve">    Intangible amortisation</t>
  </si>
  <si>
    <t xml:space="preserve">    Cost of goods sold, % of quick commerce revenue</t>
  </si>
  <si>
    <t xml:space="preserve">    Cost of goods sold, % of Hyperpure revenue</t>
  </si>
  <si>
    <t xml:space="preserve">    Inventory days, on cost of goods sold</t>
  </si>
  <si>
    <t xml:space="preserve">    Trade payable days, on cost of goods sold</t>
  </si>
  <si>
    <t xml:space="preserve">    Trade receivable days, on revenue</t>
  </si>
  <si>
    <t xml:space="preserve">    Other current assets, % of revenue</t>
  </si>
  <si>
    <t xml:space="preserve">    Other current liabilities, % of revenue</t>
  </si>
  <si>
    <t xml:space="preserve">    Treasury yield on average cash &amp; investments</t>
  </si>
  <si>
    <t xml:space="preserve">    Effective tax rate</t>
  </si>
  <si>
    <t>COST OF CAPITAL - see WACC tab</t>
  </si>
  <si>
    <t>WACC (base case)</t>
  </si>
  <si>
    <t>Terminal growth rate (INR nominal)</t>
  </si>
  <si>
    <t>Revenue Build - Segment NOV and Unit Economics</t>
  </si>
  <si>
    <t>Segment build</t>
  </si>
  <si>
    <t xml:space="preserve">    Dark stores, opening</t>
  </si>
  <si>
    <t xml:space="preserve">    Net new stores added</t>
  </si>
  <si>
    <t xml:space="preserve">    Average stores in operation</t>
  </si>
  <si>
    <t xml:space="preserve">    NOV per store per day</t>
  </si>
  <si>
    <t>Quick commerce net order value</t>
  </si>
  <si>
    <t>Quick commerce revenue</t>
  </si>
  <si>
    <t>Quick commerce adjusted EBITDA</t>
  </si>
  <si>
    <t>Food delivery net order value</t>
  </si>
  <si>
    <t>Food delivery revenue</t>
  </si>
  <si>
    <t>Food delivery adjusted EBITDA</t>
  </si>
  <si>
    <t>GOING-OUT (DISTRICT), HYPERPURE AND OTHER SEGMENTS</t>
  </si>
  <si>
    <t>Going-out net order value</t>
  </si>
  <si>
    <t>Going-out revenue</t>
  </si>
  <si>
    <t>Going-out adjusted EBITDA</t>
  </si>
  <si>
    <t>Hyperpure revenue</t>
  </si>
  <si>
    <t>Hyperpure adjusted EBITDA</t>
  </si>
  <si>
    <t>Other segments revenue</t>
  </si>
  <si>
    <t>Other segments adjusted EBITDA</t>
  </si>
  <si>
    <t>CONSOLIDATED ROLL-UP</t>
  </si>
  <si>
    <t>TOTAL REVENUE FROM OPERATIONS</t>
  </si>
  <si>
    <t>Net order value - B2C businesses</t>
  </si>
  <si>
    <t xml:space="preserve">    B2C NOV growth, YoY</t>
  </si>
  <si>
    <t>CONSOLIDATED ADJUSTED EBITDA</t>
  </si>
  <si>
    <t>Cross-check vs reported FY25A revenue</t>
  </si>
  <si>
    <t>Difference (must be ~0)</t>
  </si>
  <si>
    <t>Three-Statement Model - Income Statement, Balance Sheet, Cash Flow</t>
  </si>
  <si>
    <t>Consolidated financials</t>
  </si>
  <si>
    <t>INCOME STATEMENT</t>
  </si>
  <si>
    <t xml:space="preserve">  YoY growth</t>
  </si>
  <si>
    <t>Cost of goods sold</t>
  </si>
  <si>
    <t>Gross profit</t>
  </si>
  <si>
    <t xml:space="preserve">  Gross margin</t>
  </si>
  <si>
    <t>ADJUSTED EBITDA BRIDGE TO IND AS EBITDA</t>
  </si>
  <si>
    <t xml:space="preserve">    Food delivery</t>
  </si>
  <si>
    <t xml:space="preserve">    Hyperpure</t>
  </si>
  <si>
    <t xml:space="preserve">    Other segments</t>
  </si>
  <si>
    <t>ADJUSTED EBITDA</t>
  </si>
  <si>
    <t xml:space="preserve">    Less: share-based payment expense (added back in adj. EBITDA)</t>
  </si>
  <si>
    <t xml:space="preserve">    Add back: Ind AS 116 lease rent paid (charged in adj. EBITDA)</t>
  </si>
  <si>
    <t>EBITDA (Ind AS reported basis)</t>
  </si>
  <si>
    <t xml:space="preserve">      of which: right-of-use depreciation</t>
  </si>
  <si>
    <t>EBIT</t>
  </si>
  <si>
    <t xml:space="preserve">  EBIT margin on revenue</t>
  </si>
  <si>
    <t>Other income (treasury)</t>
  </si>
  <si>
    <t>Finance costs (lease interest)</t>
  </si>
  <si>
    <t>Profit before tax</t>
  </si>
  <si>
    <t>Weighted average shares outstanding</t>
  </si>
  <si>
    <t>Memo: tax expense</t>
  </si>
  <si>
    <t>BALANCE SHEET - ASSETS</t>
  </si>
  <si>
    <t>Cash, deposits &amp; treasury investments</t>
  </si>
  <si>
    <t>Inventories</t>
  </si>
  <si>
    <t>Trade receivables</t>
  </si>
  <si>
    <t>Other current assets</t>
  </si>
  <si>
    <t>Property, plant &amp; equipment, net</t>
  </si>
  <si>
    <t>Right-of-use assets</t>
  </si>
  <si>
    <t>Goodwill (held flat)</t>
  </si>
  <si>
    <t>Other intangible assets</t>
  </si>
  <si>
    <t>Other non-current assets (held flat)</t>
  </si>
  <si>
    <t>BALANCE SHEET - LIABILITIES &amp; EQUITY</t>
  </si>
  <si>
    <t>Trade payables</t>
  </si>
  <si>
    <t>Other current liabilities</t>
  </si>
  <si>
    <t>Lease liabilities</t>
  </si>
  <si>
    <t>Other non-current liabilities (held flat)</t>
  </si>
  <si>
    <t>Total equity</t>
  </si>
  <si>
    <t>TOTAL LIABILITIES &amp; EQUITY</t>
  </si>
  <si>
    <t>EQUITY ROLL-FORWARD</t>
  </si>
  <si>
    <t>Opening equity</t>
  </si>
  <si>
    <t xml:space="preserve">    Profit after tax</t>
  </si>
  <si>
    <t xml:space="preserve">    Share-based payment credited to reserves</t>
  </si>
  <si>
    <t xml:space="preserve">    Dividends paid (none declared)</t>
  </si>
  <si>
    <t xml:space="preserve">    Other comprehensive income (set to nil)</t>
  </si>
  <si>
    <t>Closing equity (check vs balance sheet)</t>
  </si>
  <si>
    <t>CASH FLOW STATEMENT</t>
  </si>
  <si>
    <t xml:space="preserve">    Depreciation &amp; amortisation</t>
  </si>
  <si>
    <t xml:space="preserve">    (Increase) / decrease in inventories</t>
  </si>
  <si>
    <t xml:space="preserve">    (Increase) / decrease in receivables</t>
  </si>
  <si>
    <t xml:space="preserve">    (Increase) / decrease in other current assets</t>
  </si>
  <si>
    <t xml:space="preserve">    (Increase) / decrease in other non-current assets</t>
  </si>
  <si>
    <t xml:space="preserve">    Increase / (decrease) in trade payables</t>
  </si>
  <si>
    <t xml:space="preserve">    Increase / (decrease) in other current liabilities</t>
  </si>
  <si>
    <t xml:space="preserve">    Increase / (decrease) in other non-current liabilities</t>
  </si>
  <si>
    <t>Net cash from operating activities</t>
  </si>
  <si>
    <t>Capital expenditure</t>
  </si>
  <si>
    <t>Net cash used in investing activities</t>
  </si>
  <si>
    <t>Lease principal repayments</t>
  </si>
  <si>
    <t>Net cash from financing activities</t>
  </si>
  <si>
    <t>Net change in cash &amp; investments</t>
  </si>
  <si>
    <t>Opening cash &amp; investments</t>
  </si>
  <si>
    <t>Closing cash &amp; investments</t>
  </si>
  <si>
    <t>SUPPORTING SCHEDULES - LEASES, DEPRECIATION AND TREASURY</t>
  </si>
  <si>
    <t>Lease rent paid (Ind AS 116)</t>
  </si>
  <si>
    <t>Lease interest expense</t>
  </si>
  <si>
    <t>Lease principal repayment</t>
  </si>
  <si>
    <t>New lease additions (balancing)</t>
  </si>
  <si>
    <t>Right-of-use depreciation</t>
  </si>
  <si>
    <t>PP&amp;E depreciation</t>
  </si>
  <si>
    <t>Net cash / (debt) after lease liabilities</t>
  </si>
  <si>
    <t>Memo: net cash before lease liabilities</t>
  </si>
  <si>
    <t>Interest-earning cash, average (non-circular basis)</t>
  </si>
  <si>
    <t>Ratio Analysis &amp; DuPont Decomposition</t>
  </si>
  <si>
    <t>Ratio</t>
  </si>
  <si>
    <t>PROFITABILITY</t>
  </si>
  <si>
    <t>Gross margin</t>
  </si>
  <si>
    <t>Adjusted EBITDA margin on B2C net order value</t>
  </si>
  <si>
    <t>EBITDA margin on revenue</t>
  </si>
  <si>
    <t>EBIT margin on revenue</t>
  </si>
  <si>
    <t>Net margin</t>
  </si>
  <si>
    <t>Return on equity</t>
  </si>
  <si>
    <t>Return on capital employed (EBIT basis)</t>
  </si>
  <si>
    <t>Return on invested capital (NOPAT / IC)</t>
  </si>
  <si>
    <t xml:space="preserve">      Memo: goodwill as % of invested capital</t>
  </si>
  <si>
    <t>DUPONT DECOMPOSITION  (3-step)</t>
  </si>
  <si>
    <t xml:space="preserve">    Net margin  (PAT / revenue)</t>
  </si>
  <si>
    <t xml:space="preserve">    ×  Asset turnover  (revenue / average assets)</t>
  </si>
  <si>
    <t xml:space="preserve">    ×  Equity multiplier  (average assets / average equity)</t>
  </si>
  <si>
    <t xml:space="preserve">    =  Return on equity</t>
  </si>
  <si>
    <t xml:space="preserve">   Cross-check vs direct ROE (must be zero)</t>
  </si>
  <si>
    <t>LIQUIDITY &amp; LEVERAGE</t>
  </si>
  <si>
    <t>Net cash / (debt) after leases (₹ cr)</t>
  </si>
  <si>
    <t>Net cash as % of market capitalisation</t>
  </si>
  <si>
    <t>Lease liabilities / equity</t>
  </si>
  <si>
    <t>Net debt / adjusted EBITDA</t>
  </si>
  <si>
    <t>Interest coverage (EBIT / lease interest)</t>
  </si>
  <si>
    <t>EFFICIENCY</t>
  </si>
  <si>
    <t>Inventory days (on COGS)</t>
  </si>
  <si>
    <t>Trade payable days (on COGS)</t>
  </si>
  <si>
    <t>Trade receivable days (on revenue)</t>
  </si>
  <si>
    <t>Cash conversion cycle (days)</t>
  </si>
  <si>
    <t>Capex as % of B2C net order value</t>
  </si>
  <si>
    <t>NOV per average dark store per day (₹ lakh)</t>
  </si>
  <si>
    <t>VALUATION AT REFERENCE PRICE</t>
  </si>
  <si>
    <t>P / E</t>
  </si>
  <si>
    <t>EV / adjusted EBITDA</t>
  </si>
  <si>
    <t>EV / revenue</t>
  </si>
  <si>
    <t>EV / B2C net order value</t>
  </si>
  <si>
    <t>P / B</t>
  </si>
  <si>
    <t>Cost of Capital - CAPM Build</t>
  </si>
  <si>
    <t>Peer</t>
  </si>
  <si>
    <t>Levered beta</t>
  </si>
  <si>
    <t>Debt / equity</t>
  </si>
  <si>
    <t>Tax rate</t>
  </si>
  <si>
    <t>Unlevered beta</t>
  </si>
  <si>
    <t>Swiggy Limited</t>
  </si>
  <si>
    <t>Avenue Supermarts (DMart)</t>
  </si>
  <si>
    <t>FSN E-Commerce Ventures (Nykaa)</t>
  </si>
  <si>
    <t>Info Edge (India)</t>
  </si>
  <si>
    <t>Brainbees Solutions (FirstCry)</t>
  </si>
  <si>
    <t>Median unlevered beta</t>
  </si>
  <si>
    <t>COST OF EQUITY</t>
  </si>
  <si>
    <t>Risk-free rate - India 10Y G-Sec</t>
  </si>
  <si>
    <t>Equity risk premium - India</t>
  </si>
  <si>
    <t>Target debt / equity (market values, leases only)</t>
  </si>
  <si>
    <t>Marginal tax rate</t>
  </si>
  <si>
    <t>Relevered beta for Eternal</t>
  </si>
  <si>
    <t>COST OF DEBT &amp; CAPITAL WEIGHTS</t>
  </si>
  <si>
    <t>After-tax cost of debt</t>
  </si>
  <si>
    <t>Lease liabilities, FY26E (₹ cr)</t>
  </si>
  <si>
    <t>Weight of equity</t>
  </si>
  <si>
    <t>Weight of debt</t>
  </si>
  <si>
    <t>WACC</t>
  </si>
  <si>
    <t>Sensitivity - Value per Share</t>
  </si>
  <si>
    <t>WACC × terminal growth on the nine-year FY27E-FY35E forecast. Live formulas throughout; no Excel data table, so the grid cannot silently fail to recalculate.</t>
  </si>
  <si>
    <t>VALUE PER SHARE (₹) - WACC (rows) × TERMINAL GROWTH (columns)</t>
  </si>
  <si>
    <t>WACC \ g</t>
  </si>
  <si>
    <t>IMPLIED UPSIDE / (DOWNSIDE) vs REFERENCE PRICE</t>
  </si>
  <si>
    <t>Discounted Cash Flow - FCFF</t>
  </si>
  <si>
    <t>Free cash flow to the firm (₹ cr)</t>
  </si>
  <si>
    <t>FCFF BUILD</t>
  </si>
  <si>
    <t>Effective tax rate</t>
  </si>
  <si>
    <t>NOPAT</t>
  </si>
  <si>
    <t xml:space="preserve">    Add: depreciation &amp; amortisation</t>
  </si>
  <si>
    <t xml:space="preserve">    Less: capital expenditure</t>
  </si>
  <si>
    <t xml:space="preserve">    Less: increase in net working capital</t>
  </si>
  <si>
    <t xml:space="preserve">    Less: lease principal repayments</t>
  </si>
  <si>
    <t>FREE CASH FLOW TO THE FIRM</t>
  </si>
  <si>
    <t xml:space="preserve">  FCFF margin on B2C net order value</t>
  </si>
  <si>
    <t>DISCOUNTING</t>
  </si>
  <si>
    <t>Discount period</t>
  </si>
  <si>
    <t>yrs</t>
  </si>
  <si>
    <t>Discount factor</t>
  </si>
  <si>
    <t>PV of FCFF</t>
  </si>
  <si>
    <t>ENTERPRISE &amp; EQUITY VALUE</t>
  </si>
  <si>
    <t>PV of explicit forecast FCFF (FY27E-FY35E)</t>
  </si>
  <si>
    <t>Terminal value at FY35E (Gordon growth)</t>
  </si>
  <si>
    <t>PV of terminal value</t>
  </si>
  <si>
    <t>ENTERPRISE VALUE</t>
  </si>
  <si>
    <t xml:space="preserve">  Terminal value as % of enterprise value</t>
  </si>
  <si>
    <t xml:space="preserve">  Implied terminal EV / FY35E adjusted EBITDA</t>
  </si>
  <si>
    <t>x</t>
  </si>
  <si>
    <t>Cash, deposits &amp; treasury investments, FY26E</t>
  </si>
  <si>
    <t>Less: lease liabilities, FY26E</t>
  </si>
  <si>
    <t>Net cash after lease liabilities</t>
  </si>
  <si>
    <t>EQUITY VALUE</t>
  </si>
  <si>
    <t>VALUE PER SHARE - DCF</t>
  </si>
  <si>
    <t>Current market price</t>
  </si>
  <si>
    <t>Implied upside / (downside)</t>
  </si>
  <si>
    <t xml:space="preserve">  Market-implied terminal EV / FY35E adjusted EBITDA</t>
  </si>
  <si>
    <t>REVERSE DCF - WHAT THE CURRENT PRICE IMPLIES</t>
  </si>
  <si>
    <t>Market capitalisation at CMP</t>
  </si>
  <si>
    <t xml:space="preserve">    Less: net cash after lease liabilities</t>
  </si>
  <si>
    <t>Market-implied enterprise value</t>
  </si>
  <si>
    <t xml:space="preserve">    Less: PV of explicit FY27E-FY35E FCFF</t>
  </si>
  <si>
    <t>Market-implied PV of terminal value</t>
  </si>
  <si>
    <t>Market-implied terminal value at FY35E</t>
  </si>
  <si>
    <t>IMPLIED PERPETUAL GROWTH AT CURRENT PRICE</t>
  </si>
  <si>
    <t>Our base-case terminal growth</t>
  </si>
  <si>
    <t>TERMINAL VALUE CROSS-CHECK - EXIT MULTIPLE</t>
  </si>
  <si>
    <t>FY35E adjusted EBITDA</t>
  </si>
  <si>
    <t>Exit EV / EBITDA multiple</t>
  </si>
  <si>
    <t>Terminal value on exit multiple</t>
  </si>
  <si>
    <t>Enterprise value (exit multiple)</t>
  </si>
  <si>
    <t>VALUE PER SHARE - EXIT MULTIPLE</t>
  </si>
  <si>
    <t>Difference vs Gordon growth terminal value</t>
  </si>
  <si>
    <t>Sum-of-the-Parts - FY30E Segment Metrics</t>
  </si>
  <si>
    <t>Eternal is four businesses with different growth, margin and capital profiles. Consolidated multiples are close to meaningless here; this is the primary valuation method.</t>
  </si>
  <si>
    <t>Segment</t>
  </si>
  <si>
    <t>Valuation metric (FY30E)</t>
  </si>
  <si>
    <t>Metric value (₹ cr)</t>
  </si>
  <si>
    <t>Multiple</t>
  </si>
  <si>
    <t>Enterprise value (₹ cr)</t>
  </si>
  <si>
    <t>% of total</t>
  </si>
  <si>
    <t>Quick commerce (Blinkit)</t>
  </si>
  <si>
    <t>EV / net order value</t>
  </si>
  <si>
    <t>Food delivery (Zomato)</t>
  </si>
  <si>
    <t>Going-out (District)</t>
  </si>
  <si>
    <t>Hyperpure (B2B supplies)</t>
  </si>
  <si>
    <t>Other segments (Bistro, Nugget)</t>
  </si>
  <si>
    <t>Loss-making; no value ascribed</t>
  </si>
  <si>
    <t>Total enterprise value, FY30E basis</t>
  </si>
  <si>
    <t>DISCOUNT BACK TO THE VALUATION DATE</t>
  </si>
  <si>
    <t>Years from 31-Mar-2026 to FY30E</t>
  </si>
  <si>
    <t>Discount rate (WACC)</t>
  </si>
  <si>
    <t>Present value of segment enterprise value</t>
  </si>
  <si>
    <t>Add: net cash after lease liabilities, FY26E</t>
  </si>
  <si>
    <t>VALUE PER SHARE - SOTP</t>
  </si>
  <si>
    <t>CROSS-CHECK - WHAT EACH MULTIPLE IMPLIES</t>
  </si>
  <si>
    <t>Blinkit EV / FY30E revenue (implied)</t>
  </si>
  <si>
    <t>Blinkit EV / FY30E adjusted EBITDA (implied)</t>
  </si>
  <si>
    <t>Food delivery EV / FY30E NOV (implied)</t>
  </si>
  <si>
    <t>Blinkit implied EV as % of total</t>
  </si>
  <si>
    <t>Listed Peer Comparables - India Consumer Internet &amp; Organised Retail</t>
  </si>
  <si>
    <t>Company</t>
  </si>
  <si>
    <t>Price (₹)</t>
  </si>
  <si>
    <t>Mkt cap (₹ cr)</t>
  </si>
  <si>
    <t>Net cash (₹ cr)</t>
  </si>
  <si>
    <t>Ent. value (₹ cr)</t>
  </si>
  <si>
    <t>Revenue (₹ cr)</t>
  </si>
  <si>
    <t>EBITDA (₹ cr)</t>
  </si>
  <si>
    <t>EV / EBITDA</t>
  </si>
  <si>
    <t>EBITDA margin</t>
  </si>
  <si>
    <t>Revenue growth</t>
  </si>
  <si>
    <t>Peer median</t>
  </si>
  <si>
    <t>ETERNAL (this model, FY26E)</t>
  </si>
  <si>
    <t>Eternal premium / (discount) to peer median - EV / revenue</t>
  </si>
  <si>
    <t>Eternal premium / (discount) to peer median - EV / EBITDA</t>
  </si>
  <si>
    <t>WHY EV / REVENUE DOES NOT WORK HERE - THE ORDER-VALUE VIEW</t>
  </si>
  <si>
    <t>FY27E basis</t>
  </si>
  <si>
    <t>Order value (₹ cr)</t>
  </si>
  <si>
    <t>EV / order value</t>
  </si>
  <si>
    <t>Eternal - B2C net order value</t>
  </si>
  <si>
    <t>Eternal premium to Swiggy on EV / order value</t>
  </si>
  <si>
    <t>IMPLIED VALUATION - THREE ROUTES, TRIANGULATED</t>
  </si>
  <si>
    <t>Method</t>
  </si>
  <si>
    <t>Metric value</t>
  </si>
  <si>
    <t>Implied EV (₹ cr)</t>
  </si>
  <si>
    <t>Implied equity (₹ cr)</t>
  </si>
  <si>
    <t>Discount (yrs)</t>
  </si>
  <si>
    <t>Value / share (₹)</t>
  </si>
  <si>
    <t>EV / net order value on FY27E B2C NOV</t>
  </si>
  <si>
    <t>Blinkit-weighted; the only like-for-like denominator</t>
  </si>
  <si>
    <t>EV / adjusted EBITDA on FY29E</t>
  </si>
  <si>
    <t>Discount to organised-retail median for execution risk</t>
  </si>
  <si>
    <t>P / E on FY30E EPS</t>
  </si>
  <si>
    <t>First year of clean, tax-normalised earnings</t>
  </si>
  <si>
    <t>Average of the three routes</t>
  </si>
  <si>
    <t>RELATIVE-VALUATION VALUE PER SHARE  (feeds the Summary tab)</t>
  </si>
  <si>
    <t>Implied upside / (downside) vs reference price</t>
  </si>
  <si>
    <t>Scenarios - Bull / Base / Bear</t>
  </si>
  <si>
    <t>Each scenario is a live nine-year mini-DCF driven off Blinkit's store count, store productivity and margin - the three variables that decide this stock. Assumption deltas are stated, not just outputs.</t>
  </si>
  <si>
    <t>Scenario driver</t>
  </si>
  <si>
    <t>Value/sh</t>
  </si>
  <si>
    <t>BULL - competition rationalises, Blinkit runs at 4,000 stores by March 2027 and lands the top of its guided margin band</t>
  </si>
  <si>
    <t xml:space="preserve">    Blinkit dark stores, closing</t>
  </si>
  <si>
    <t xml:space="preserve">    Blinkit net order value</t>
  </si>
  <si>
    <t xml:space="preserve">    Blinkit adjusted EBITDA margin (% of NOV)</t>
  </si>
  <si>
    <t>Consolidated adjusted EBITDA</t>
  </si>
  <si>
    <t>Free cash flow to the firm</t>
  </si>
  <si>
    <t>WACC / terminal growth</t>
  </si>
  <si>
    <t>BASE - mirrors the main model; drivers linked live to the Assumptions tab</t>
  </si>
  <si>
    <t>BEAR - Amazon Now, Flipkart Minutes and a freshly funded Zepto turn quick commerce into a multi-year subsidy war</t>
  </si>
  <si>
    <t>SCENARIO SUMMARY</t>
  </si>
  <si>
    <t>Upside</t>
  </si>
  <si>
    <t>Probability</t>
  </si>
  <si>
    <t>Weighted</t>
  </si>
  <si>
    <t>Bull</t>
  </si>
  <si>
    <t>Base</t>
  </si>
  <si>
    <t>Bear</t>
  </si>
  <si>
    <t>Probability-weighted value per share</t>
  </si>
  <si>
    <t>Probability check (must equal 100%)</t>
  </si>
  <si>
    <t>Operating Profit</t>
  </si>
  <si>
    <t xml:space="preserve">    Operating margin</t>
  </si>
  <si>
    <t>Arithmetic check: EBITDA + other income - D&amp;A - finance</t>
  </si>
  <si>
    <t>MARKET DATA</t>
  </si>
  <si>
    <t>BALANCE CHECK</t>
  </si>
  <si>
    <t>Cost of equity  =  Rf + beta × ERP</t>
  </si>
  <si>
    <t>Pre-tax cost of debt</t>
  </si>
  <si>
    <t>Swiggy - gross order value</t>
  </si>
  <si>
    <t>Meesho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</si>
</sst>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₹#,##0.00;&quot;(₹&quot;#,##0.00\);\-"/>
    <numFmt numFmtId="165" formatCode="0.00%;\(0.00%\);\-"/>
    <numFmt numFmtId="166" formatCode="#,##0;\(#,##0\);\-"/>
    <numFmt numFmtId="167" formatCode="#,##0.0;\(#,##0.0\);\-"/>
    <numFmt numFmtId="168" formatCode="#,##0.00;\(#,##0.00\);\-"/>
    <numFmt numFmtId="169" formatCode="0.0\x"/>
    <numFmt numFmtId="170" formatCode="#,##0.0;\(#,##0.0\);&quot;0.0&quot;"/>
    <numFmt numFmtId="171" formatCode="0.0%;\(0.0%\);\-"/>
  </numFmts>
  <fonts count="17" x14ac:knownFonts="1">
    <font>
      <sz val="11"/>
      <color theme="1"/>
      <name val="Calibri"/>
      <family val="2"/>
      <charset val="1"/>
    </font>
    <font>
      <b/>
      <sz val="11"/>
      <color rgb="FF1F2937"/>
      <name val="Calibri"/>
      <family val="2"/>
      <charset val="1"/>
    </font>
    <font>
      <i/>
      <sz val="11"/>
      <color rgb="FF6B728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8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8000"/>
      <name val="Calibri"/>
      <family val="2"/>
      <charset val="1"/>
    </font>
    <font>
      <sz val="11"/>
      <color rgb="FF0000FF"/>
      <name val="Calibri"/>
      <family val="2"/>
      <charset val="1"/>
    </font>
    <font>
      <sz val="11"/>
      <color rgb="FF6B7280"/>
      <name val="Calibri"/>
      <family val="2"/>
      <charset val="1"/>
    </font>
    <font>
      <b/>
      <sz val="11"/>
      <color rgb="FF0000FF"/>
      <name val="Calibri"/>
      <family val="2"/>
      <charset val="1"/>
    </font>
    <font>
      <b/>
      <sz val="11"/>
      <color rgb="FFD97706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FF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  <fill>
      <patternFill patternType="solid">
        <fgColor rgb="FFFEF3C7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DCFCE7"/>
        <bgColor rgb="FFF2F2F2"/>
      </patternFill>
    </fill>
    <fill>
      <patternFill patternType="solid">
        <fgColor rgb="FFE5E7EB"/>
        <bgColor rgb="FFF2F2F2"/>
      </patternFill>
    </fill>
    <fill>
      <patternFill patternType="solid">
        <fgColor theme="0" tint="-4.9989318521683403E-2"/>
        <bgColor rgb="FFE5E7E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1" fillId="3" borderId="1" xfId="0" applyFont="1" applyFill="1" applyBorder="1" applyAlignment="1">
      <alignment horizontal="center"/>
    </xf>
    <xf numFmtId="0" fontId="4" fillId="0" borderId="0" xfId="0" applyFont="1"/>
    <xf numFmtId="164" fontId="5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6" fillId="0" borderId="0" xfId="0" applyFont="1"/>
    <xf numFmtId="166" fontId="7" fillId="0" borderId="0" xfId="0" applyNumberFormat="1" applyFont="1"/>
    <xf numFmtId="167" fontId="7" fillId="0" borderId="0" xfId="0" applyNumberFormat="1" applyFont="1"/>
    <xf numFmtId="0" fontId="3" fillId="2" borderId="0" xfId="0" applyFont="1" applyFill="1" applyAlignment="1">
      <alignment horizontal="center"/>
    </xf>
    <xf numFmtId="164" fontId="7" fillId="0" borderId="0" xfId="0" applyNumberFormat="1" applyFont="1"/>
    <xf numFmtId="165" fontId="8" fillId="4" borderId="0" xfId="0" applyNumberFormat="1" applyFont="1" applyFill="1"/>
    <xf numFmtId="168" fontId="6" fillId="0" borderId="0" xfId="0" applyNumberFormat="1" applyFont="1"/>
    <xf numFmtId="165" fontId="4" fillId="0" borderId="2" xfId="0" applyNumberFormat="1" applyFont="1" applyBorder="1"/>
    <xf numFmtId="164" fontId="4" fillId="0" borderId="2" xfId="0" applyNumberFormat="1" applyFont="1" applyBorder="1"/>
    <xf numFmtId="165" fontId="7" fillId="0" borderId="0" xfId="0" applyNumberFormat="1" applyFont="1"/>
    <xf numFmtId="168" fontId="7" fillId="0" borderId="0" xfId="0" applyNumberFormat="1" applyFont="1"/>
    <xf numFmtId="169" fontId="7" fillId="0" borderId="0" xfId="0" applyNumberFormat="1" applyFont="1"/>
    <xf numFmtId="170" fontId="4" fillId="5" borderId="0" xfId="0" applyNumberFormat="1" applyFont="1" applyFill="1"/>
    <xf numFmtId="165" fontId="4" fillId="5" borderId="0" xfId="0" applyNumberFormat="1" applyFont="1" applyFill="1"/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6" borderId="0" xfId="0" applyFont="1" applyFill="1"/>
    <xf numFmtId="0" fontId="1" fillId="7" borderId="0" xfId="0" applyFont="1" applyFill="1" applyAlignment="1">
      <alignment horizontal="center"/>
    </xf>
    <xf numFmtId="0" fontId="1" fillId="7" borderId="0" xfId="0" applyFont="1" applyFill="1"/>
    <xf numFmtId="0" fontId="0" fillId="7" borderId="0" xfId="0" applyFill="1"/>
    <xf numFmtId="0" fontId="6" fillId="7" borderId="0" xfId="0" applyFont="1" applyFill="1"/>
    <xf numFmtId="0" fontId="9" fillId="0" borderId="0" xfId="0" applyFont="1" applyAlignment="1">
      <alignment horizontal="center"/>
    </xf>
    <xf numFmtId="166" fontId="10" fillId="0" borderId="0" xfId="0" applyNumberFormat="1" applyFont="1"/>
    <xf numFmtId="166" fontId="5" fillId="0" borderId="0" xfId="0" applyNumberFormat="1" applyFont="1"/>
    <xf numFmtId="171" fontId="6" fillId="0" borderId="0" xfId="0" applyNumberFormat="1" applyFont="1"/>
    <xf numFmtId="166" fontId="8" fillId="0" borderId="0" xfId="0" applyNumberFormat="1" applyFont="1"/>
    <xf numFmtId="166" fontId="4" fillId="0" borderId="2" xfId="0" applyNumberFormat="1" applyFont="1" applyBorder="1"/>
    <xf numFmtId="168" fontId="8" fillId="0" borderId="0" xfId="0" applyNumberFormat="1" applyFont="1"/>
    <xf numFmtId="0" fontId="2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166" fontId="4" fillId="0" borderId="4" xfId="0" applyNumberFormat="1" applyFont="1" applyBorder="1"/>
    <xf numFmtId="166" fontId="9" fillId="0" borderId="0" xfId="0" applyNumberFormat="1" applyFont="1"/>
    <xf numFmtId="166" fontId="6" fillId="0" borderId="0" xfId="0" applyNumberFormat="1" applyFont="1"/>
    <xf numFmtId="167" fontId="8" fillId="0" borderId="0" xfId="0" applyNumberFormat="1" applyFont="1"/>
    <xf numFmtId="167" fontId="4" fillId="0" borderId="0" xfId="0" applyNumberFormat="1" applyFont="1"/>
    <xf numFmtId="171" fontId="8" fillId="0" borderId="0" xfId="0" applyNumberFormat="1" applyFont="1"/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11" fillId="0" borderId="0" xfId="0" applyFont="1"/>
    <xf numFmtId="164" fontId="8" fillId="4" borderId="0" xfId="0" applyNumberFormat="1" applyFont="1" applyFill="1"/>
    <xf numFmtId="0" fontId="8" fillId="0" borderId="0" xfId="0" applyFont="1"/>
    <xf numFmtId="166" fontId="8" fillId="4" borderId="0" xfId="0" applyNumberFormat="1" applyFont="1" applyFill="1"/>
    <xf numFmtId="168" fontId="8" fillId="4" borderId="0" xfId="0" applyNumberFormat="1" applyFont="1" applyFill="1"/>
    <xf numFmtId="171" fontId="8" fillId="4" borderId="0" xfId="0" applyNumberFormat="1" applyFont="1" applyFill="1"/>
    <xf numFmtId="167" fontId="8" fillId="4" borderId="0" xfId="0" applyNumberFormat="1" applyFont="1" applyFill="1"/>
    <xf numFmtId="165" fontId="5" fillId="0" borderId="0" xfId="0" applyNumberFormat="1" applyFont="1"/>
    <xf numFmtId="165" fontId="10" fillId="4" borderId="0" xfId="0" applyNumberFormat="1" applyFont="1" applyFill="1"/>
    <xf numFmtId="167" fontId="6" fillId="0" borderId="0" xfId="0" applyNumberFormat="1" applyFont="1"/>
    <xf numFmtId="171" fontId="7" fillId="0" borderId="0" xfId="0" applyNumberFormat="1" applyFont="1"/>
    <xf numFmtId="166" fontId="4" fillId="0" borderId="0" xfId="0" applyNumberFormat="1" applyFont="1"/>
    <xf numFmtId="0" fontId="0" fillId="0" borderId="0" xfId="0" applyAlignment="1">
      <alignment horizontal="center" vertical="center"/>
    </xf>
    <xf numFmtId="168" fontId="4" fillId="0" borderId="0" xfId="0" applyNumberFormat="1" applyFont="1"/>
    <xf numFmtId="0" fontId="0" fillId="0" borderId="0" xfId="0" applyAlignment="1">
      <alignment horizontal="center"/>
    </xf>
    <xf numFmtId="171" fontId="4" fillId="0" borderId="2" xfId="0" applyNumberFormat="1" applyFont="1" applyBorder="1"/>
    <xf numFmtId="168" fontId="4" fillId="0" borderId="2" xfId="0" applyNumberFormat="1" applyFont="1" applyBorder="1"/>
    <xf numFmtId="165" fontId="6" fillId="0" borderId="0" xfId="0" applyNumberFormat="1" applyFont="1"/>
    <xf numFmtId="165" fontId="8" fillId="0" borderId="0" xfId="0" applyNumberFormat="1" applyFont="1"/>
    <xf numFmtId="165" fontId="4" fillId="0" borderId="4" xfId="0" applyNumberFormat="1" applyFont="1" applyBorder="1"/>
    <xf numFmtId="171" fontId="3" fillId="2" borderId="0" xfId="0" applyNumberFormat="1" applyFont="1" applyFill="1" applyAlignment="1">
      <alignment horizontal="center"/>
    </xf>
    <xf numFmtId="164" fontId="6" fillId="0" borderId="0" xfId="0" applyNumberFormat="1" applyFont="1"/>
    <xf numFmtId="164" fontId="4" fillId="5" borderId="0" xfId="0" applyNumberFormat="1" applyFont="1" applyFill="1"/>
    <xf numFmtId="171" fontId="4" fillId="5" borderId="0" xfId="0" applyNumberFormat="1" applyFont="1" applyFill="1"/>
    <xf numFmtId="0" fontId="9" fillId="0" borderId="0" xfId="0" applyFont="1"/>
    <xf numFmtId="169" fontId="6" fillId="0" borderId="0" xfId="0" applyNumberFormat="1" applyFont="1"/>
    <xf numFmtId="171" fontId="4" fillId="0" borderId="0" xfId="0" applyNumberFormat="1" applyFont="1"/>
    <xf numFmtId="0" fontId="0" fillId="6" borderId="0" xfId="0" applyFill="1"/>
    <xf numFmtId="169" fontId="8" fillId="4" borderId="0" xfId="0" applyNumberFormat="1" applyFont="1" applyFill="1"/>
    <xf numFmtId="164" fontId="4" fillId="0" borderId="4" xfId="0" applyNumberFormat="1" applyFont="1" applyBorder="1"/>
    <xf numFmtId="169" fontId="4" fillId="0" borderId="2" xfId="0" applyNumberFormat="1" applyFont="1" applyBorder="1"/>
    <xf numFmtId="168" fontId="5" fillId="0" borderId="0" xfId="0" applyNumberFormat="1" applyFont="1"/>
    <xf numFmtId="169" fontId="4" fillId="0" borderId="0" xfId="0" applyNumberFormat="1" applyFont="1"/>
    <xf numFmtId="0" fontId="6" fillId="6" borderId="0" xfId="0" applyFont="1" applyFill="1"/>
    <xf numFmtId="3" fontId="8" fillId="0" borderId="0" xfId="0" applyNumberFormat="1" applyFont="1"/>
    <xf numFmtId="164" fontId="4" fillId="0" borderId="3" xfId="0" applyNumberFormat="1" applyFont="1" applyBorder="1"/>
    <xf numFmtId="167" fontId="10" fillId="0" borderId="0" xfId="0" applyNumberFormat="1" applyFont="1"/>
    <xf numFmtId="167" fontId="4" fillId="0" borderId="2" xfId="0" applyNumberFormat="1" applyFont="1" applyBorder="1"/>
    <xf numFmtId="167" fontId="12" fillId="0" borderId="0" xfId="0" applyNumberFormat="1" applyFont="1"/>
    <xf numFmtId="167" fontId="4" fillId="0" borderId="3" xfId="0" applyNumberFormat="1" applyFont="1" applyBorder="1"/>
    <xf numFmtId="167" fontId="0" fillId="0" borderId="0" xfId="0" applyNumberFormat="1"/>
    <xf numFmtId="167" fontId="4" fillId="0" borderId="4" xfId="0" applyNumberFormat="1" applyFont="1" applyBorder="1"/>
    <xf numFmtId="167" fontId="4" fillId="5" borderId="0" xfId="0" applyNumberFormat="1" applyFont="1" applyFill="1"/>
    <xf numFmtId="171" fontId="13" fillId="0" borderId="0" xfId="0" applyNumberFormat="1" applyFont="1"/>
    <xf numFmtId="166" fontId="13" fillId="0" borderId="0" xfId="0" applyNumberFormat="1" applyFont="1"/>
    <xf numFmtId="9" fontId="8" fillId="0" borderId="0" xfId="0" applyNumberFormat="1" applyFont="1" applyAlignment="1">
      <alignment horizontal="center"/>
    </xf>
    <xf numFmtId="10" fontId="8" fillId="0" borderId="0" xfId="0" applyNumberFormat="1" applyFont="1" applyAlignment="1">
      <alignment horizontal="center"/>
    </xf>
    <xf numFmtId="167" fontId="13" fillId="0" borderId="0" xfId="0" applyNumberFormat="1" applyFont="1"/>
    <xf numFmtId="167" fontId="5" fillId="0" borderId="0" xfId="0" applyNumberFormat="1" applyFont="1"/>
    <xf numFmtId="0" fontId="13" fillId="0" borderId="0" xfId="0" applyFont="1"/>
    <xf numFmtId="168" fontId="13" fillId="0" borderId="0" xfId="0" applyNumberFormat="1" applyFont="1"/>
    <xf numFmtId="169" fontId="13" fillId="0" borderId="0" xfId="0" applyNumberFormat="1" applyFont="1"/>
    <xf numFmtId="0" fontId="6" fillId="8" borderId="0" xfId="0" applyFont="1" applyFill="1"/>
    <xf numFmtId="167" fontId="6" fillId="8" borderId="0" xfId="0" applyNumberFormat="1" applyFont="1" applyFill="1"/>
    <xf numFmtId="169" fontId="6" fillId="8" borderId="0" xfId="0" applyNumberFormat="1" applyFont="1" applyFill="1"/>
    <xf numFmtId="168" fontId="8" fillId="9" borderId="0" xfId="0" applyNumberFormat="1" applyFont="1" applyFill="1"/>
    <xf numFmtId="167" fontId="8" fillId="9" borderId="0" xfId="0" applyNumberFormat="1" applyFont="1" applyFill="1"/>
    <xf numFmtId="171" fontId="8" fillId="9" borderId="0" xfId="0" applyNumberFormat="1" applyFont="1" applyFill="1"/>
    <xf numFmtId="0" fontId="14" fillId="8" borderId="0" xfId="0" applyFont="1" applyFill="1"/>
    <xf numFmtId="167" fontId="15" fillId="0" borderId="0" xfId="0" applyNumberFormat="1" applyFont="1"/>
    <xf numFmtId="167" fontId="16" fillId="0" borderId="0" xfId="0" applyNumberFormat="1" applyFont="1"/>
    <xf numFmtId="169" fontId="16" fillId="0" borderId="0" xfId="0" applyNumberFormat="1" applyFont="1"/>
    <xf numFmtId="169" fontId="16" fillId="0" borderId="0" xfId="0" applyNumberFormat="1" applyFont="1" applyAlignment="1">
      <alignment horizontal="right"/>
    </xf>
    <xf numFmtId="0" fontId="16" fillId="0" borderId="0" xfId="0" applyFont="1"/>
    <xf numFmtId="169" fontId="8" fillId="9" borderId="0" xfId="0" applyNumberFormat="1" applyFont="1" applyFill="1"/>
    <xf numFmtId="166" fontId="8" fillId="9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5E7E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97706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97706"/>
    <pageSetUpPr fitToPage="1"/>
  </sheetPr>
  <dimension ref="A2:M50"/>
  <sheetViews>
    <sheetView showGridLines="0" zoomScale="95" zoomScaleNormal="95" workbookViewId="0">
      <selection activeCell="C19" sqref="C19"/>
    </sheetView>
  </sheetViews>
  <sheetFormatPr defaultColWidth="8.6640625" defaultRowHeight="14.25" x14ac:dyDescent="0.45"/>
  <cols>
    <col min="1" max="1" width="3.19921875" customWidth="1"/>
    <col min="2" max="2" width="59.6640625" customWidth="1"/>
    <col min="3" max="11" width="15" customWidth="1"/>
    <col min="12" max="13" width="12.46484375" customWidth="1"/>
  </cols>
  <sheetData>
    <row r="2" spans="1:5" x14ac:dyDescent="0.45">
      <c r="B2" s="1" t="s">
        <v>0</v>
      </c>
    </row>
    <row r="3" spans="1:5" x14ac:dyDescent="0.45">
      <c r="B3" s="2" t="s">
        <v>1</v>
      </c>
    </row>
    <row r="5" spans="1:5" x14ac:dyDescent="0.45">
      <c r="A5" t="s">
        <v>2</v>
      </c>
      <c r="B5" s="3" t="s">
        <v>3</v>
      </c>
      <c r="C5" s="4" t="s">
        <v>4</v>
      </c>
    </row>
    <row r="7" spans="1:5" x14ac:dyDescent="0.45">
      <c r="B7" s="5" t="s">
        <v>5</v>
      </c>
      <c r="C7" s="6">
        <f>Assumptions!$D$6</f>
        <v>242.87</v>
      </c>
    </row>
    <row r="8" spans="1:5" x14ac:dyDescent="0.45">
      <c r="B8" s="5" t="s">
        <v>6</v>
      </c>
      <c r="C8" s="7">
        <f>ROUND(E20,0)</f>
        <v>297</v>
      </c>
    </row>
    <row r="9" spans="1:5" x14ac:dyDescent="0.45">
      <c r="B9" s="5" t="s">
        <v>7</v>
      </c>
      <c r="C9" s="8">
        <f>C8/C7-1</f>
        <v>0.22287643595339057</v>
      </c>
    </row>
    <row r="10" spans="1:5" x14ac:dyDescent="0.45">
      <c r="B10" s="5" t="s">
        <v>8</v>
      </c>
      <c r="C10" s="8">
        <f>C9</f>
        <v>0.22287643595339057</v>
      </c>
    </row>
    <row r="12" spans="1:5" x14ac:dyDescent="0.45">
      <c r="B12" s="9" t="s">
        <v>9</v>
      </c>
      <c r="C12" s="10">
        <f>Assumptions!$D$8</f>
        <v>234379.2648</v>
      </c>
    </row>
    <row r="13" spans="1:5" x14ac:dyDescent="0.45">
      <c r="B13" s="9" t="s">
        <v>10</v>
      </c>
      <c r="C13" s="11">
        <f>Assumptions!$D$7</f>
        <v>965.04</v>
      </c>
    </row>
    <row r="14" spans="1:5" x14ac:dyDescent="0.45">
      <c r="B14" s="9" t="s">
        <v>11</v>
      </c>
      <c r="C14" s="10">
        <f>Model!E92</f>
        <v>18911.496592589861</v>
      </c>
    </row>
    <row r="16" spans="1:5" x14ac:dyDescent="0.45">
      <c r="A16" t="s">
        <v>2</v>
      </c>
      <c r="B16" s="3" t="s">
        <v>12</v>
      </c>
      <c r="C16" s="12" t="s">
        <v>13</v>
      </c>
      <c r="D16" s="12" t="s">
        <v>14</v>
      </c>
      <c r="E16" s="12" t="s">
        <v>15</v>
      </c>
    </row>
    <row r="17" spans="1:9" x14ac:dyDescent="0.45">
      <c r="B17" s="9" t="s">
        <v>16</v>
      </c>
      <c r="C17" s="13">
        <f>DCF!N39</f>
        <v>251.42107407401613</v>
      </c>
      <c r="D17" s="14">
        <v>0.3</v>
      </c>
      <c r="E17" s="15">
        <f>C17*D17</f>
        <v>75.426322222204831</v>
      </c>
    </row>
    <row r="18" spans="1:9" x14ac:dyDescent="0.45">
      <c r="B18" s="9" t="s">
        <v>17</v>
      </c>
      <c r="C18" s="13">
        <f>SOTP!$D$24</f>
        <v>336.07020478841855</v>
      </c>
      <c r="D18" s="14">
        <v>0.5</v>
      </c>
      <c r="E18" s="15">
        <f>C18*D18</f>
        <v>168.03510239420928</v>
      </c>
      <c r="I18" t="s">
        <v>18</v>
      </c>
    </row>
    <row r="19" spans="1:9" x14ac:dyDescent="0.45">
      <c r="B19" s="9" t="s">
        <v>19</v>
      </c>
      <c r="C19" s="13">
        <f>Comps!$H$31</f>
        <v>266.94481344729326</v>
      </c>
      <c r="D19" s="14">
        <v>0.2</v>
      </c>
      <c r="E19" s="15">
        <f>C19*D19</f>
        <v>53.388962689458651</v>
      </c>
    </row>
    <row r="20" spans="1:9" x14ac:dyDescent="0.45">
      <c r="B20" s="5" t="s">
        <v>20</v>
      </c>
      <c r="D20" s="16">
        <f>SUM(D17:D19)</f>
        <v>1</v>
      </c>
      <c r="E20" s="17">
        <f>SUM(E17:E19)</f>
        <v>296.85038730587274</v>
      </c>
    </row>
    <row r="21" spans="1:9" x14ac:dyDescent="0.45">
      <c r="B21" s="9" t="s">
        <v>21</v>
      </c>
      <c r="E21" s="13">
        <f>Scenarios!$G$41</f>
        <v>267.82189506108529</v>
      </c>
    </row>
    <row r="23" spans="1:9" x14ac:dyDescent="0.45">
      <c r="A23" t="s">
        <v>2</v>
      </c>
      <c r="B23" s="3" t="s">
        <v>22</v>
      </c>
      <c r="C23" s="12" t="s">
        <v>23</v>
      </c>
      <c r="D23" s="12" t="s">
        <v>24</v>
      </c>
      <c r="E23" s="12" t="s">
        <v>25</v>
      </c>
      <c r="F23" s="12" t="s">
        <v>26</v>
      </c>
      <c r="G23" s="12" t="s">
        <v>27</v>
      </c>
    </row>
    <row r="24" spans="1:9" x14ac:dyDescent="0.45">
      <c r="B24" s="9" t="s">
        <v>28</v>
      </c>
      <c r="C24" s="11">
        <f>RevBuild!D42</f>
        <v>62290.985249999998</v>
      </c>
      <c r="D24" s="11">
        <f>RevBuild!E42</f>
        <v>96765.786749999999</v>
      </c>
      <c r="E24" s="11">
        <f>RevBuild!F42</f>
        <v>139409</v>
      </c>
      <c r="F24" s="11">
        <f>RevBuild!G42</f>
        <v>188619.07</v>
      </c>
      <c r="G24" s="11">
        <f>RevBuild!H42</f>
        <v>241983.27749999997</v>
      </c>
    </row>
    <row r="25" spans="1:9" x14ac:dyDescent="0.45">
      <c r="B25" s="9" t="s">
        <v>29</v>
      </c>
      <c r="C25" s="11">
        <f>Model!D6</f>
        <v>20241.729667675001</v>
      </c>
      <c r="D25" s="11">
        <f>Model!E6</f>
        <v>54670.182091499999</v>
      </c>
      <c r="E25" s="11">
        <f>Model!F6</f>
        <v>95618.265000000014</v>
      </c>
      <c r="F25" s="11">
        <f>Model!G6</f>
        <v>134814.2028</v>
      </c>
      <c r="G25" s="11">
        <f>Model!H6</f>
        <v>177601.8700385</v>
      </c>
    </row>
    <row r="26" spans="1:9" x14ac:dyDescent="0.45">
      <c r="B26" s="9" t="s">
        <v>30</v>
      </c>
      <c r="C26" s="11">
        <f>Model!D19</f>
        <v>765.9493823250001</v>
      </c>
      <c r="D26" s="11">
        <f>Model!E19</f>
        <v>1152.5052794999999</v>
      </c>
      <c r="E26" s="11">
        <f>Model!F19</f>
        <v>3985.0551999999989</v>
      </c>
      <c r="F26" s="11">
        <f>Model!G19</f>
        <v>7655.4011599999994</v>
      </c>
      <c r="G26" s="11">
        <f>Model!H19</f>
        <v>12016.294100399999</v>
      </c>
    </row>
    <row r="27" spans="1:9" x14ac:dyDescent="0.45">
      <c r="B27" s="9" t="s">
        <v>31</v>
      </c>
      <c r="C27" s="18">
        <f>Model!D19/RevBuild!D42</f>
        <v>1.2296311886076647E-2</v>
      </c>
      <c r="D27" s="18">
        <f>Model!E19/RevBuild!E42</f>
        <v>1.1910255868404851E-2</v>
      </c>
      <c r="E27" s="18">
        <f>Model!F19/RevBuild!F42</f>
        <v>2.8585351017509621E-2</v>
      </c>
      <c r="F27" s="18">
        <f>Model!G19/RevBuild!G42</f>
        <v>4.0586570382305454E-2</v>
      </c>
      <c r="G27" s="18">
        <f>Model!H19/RevBuild!H42</f>
        <v>4.9657539250413697E-2</v>
      </c>
    </row>
    <row r="28" spans="1:9" x14ac:dyDescent="0.45">
      <c r="B28" s="9" t="s">
        <v>32</v>
      </c>
      <c r="C28" s="11">
        <f>Model!D25</f>
        <v>-225.19711767499996</v>
      </c>
      <c r="D28" s="11">
        <f>Model!E25</f>
        <v>-228.28574079000009</v>
      </c>
      <c r="E28" s="11">
        <f>Model!F25</f>
        <v>2740.7281946663993</v>
      </c>
      <c r="F28" s="11">
        <f>Model!G25</f>
        <v>6472.5324630397763</v>
      </c>
      <c r="G28" s="11">
        <f>Model!H25</f>
        <v>10833.328363411809</v>
      </c>
    </row>
    <row r="29" spans="1:9" x14ac:dyDescent="0.45">
      <c r="B29" s="9" t="s">
        <v>33</v>
      </c>
      <c r="C29" s="11">
        <f>Model!D30</f>
        <v>527.53897903770007</v>
      </c>
      <c r="D29" s="11">
        <f>Model!E30</f>
        <v>382.94396496984371</v>
      </c>
      <c r="E29" s="11">
        <f>Model!F30</f>
        <v>2561.0467709572285</v>
      </c>
      <c r="F29" s="11">
        <f>Model!G30</f>
        <v>5842.971603838304</v>
      </c>
      <c r="G29" s="11">
        <f>Model!H30</f>
        <v>9997.5863788555016</v>
      </c>
    </row>
    <row r="30" spans="1:9" x14ac:dyDescent="0.45">
      <c r="B30" s="9" t="s">
        <v>34</v>
      </c>
      <c r="C30" s="19">
        <f>Model!D32</f>
        <v>0.60063643292462721</v>
      </c>
      <c r="D30" s="19">
        <f>Model!E32</f>
        <v>0.39681667596145626</v>
      </c>
      <c r="E30" s="19">
        <f>Model!F32</f>
        <v>2.6538244745888551</v>
      </c>
      <c r="F30" s="19">
        <f>Model!G32</f>
        <v>6.0546418841066734</v>
      </c>
      <c r="G30" s="19">
        <f>Model!H32</f>
        <v>10.359763718452605</v>
      </c>
    </row>
    <row r="31" spans="1:9" x14ac:dyDescent="0.45">
      <c r="B31" s="9" t="s">
        <v>35</v>
      </c>
      <c r="C31" s="20">
        <f>(Assumptions!$D$8-Model!D92)/RevBuild!D42</f>
        <v>3.4927568399634521</v>
      </c>
      <c r="D31" s="20">
        <f>(Assumptions!$D$8-Model!E92)/RevBuild!E42</f>
        <v>2.226693704915391</v>
      </c>
      <c r="E31" s="20">
        <f>(Assumptions!$D$8-Model!F92)/RevBuild!F42</f>
        <v>1.527679424680471</v>
      </c>
      <c r="F31" s="20">
        <f>(Assumptions!$D$8-Model!G92)/RevBuild!G42</f>
        <v>1.0986170572568135</v>
      </c>
      <c r="G31" s="20">
        <f>(Assumptions!$D$8-Model!H92)/RevBuild!H42</f>
        <v>0.81410149300898504</v>
      </c>
    </row>
    <row r="33" spans="1:13" hidden="1" x14ac:dyDescent="0.45">
      <c r="A33" t="s">
        <v>2</v>
      </c>
      <c r="B33" s="3" t="s">
        <v>36</v>
      </c>
    </row>
    <row r="34" spans="1:13" hidden="1" x14ac:dyDescent="0.45">
      <c r="B34" s="5" t="s">
        <v>37</v>
      </c>
      <c r="C34" s="21">
        <f>Model!D55</f>
        <v>0</v>
      </c>
      <c r="D34" s="21">
        <f>Model!E55</f>
        <v>0</v>
      </c>
      <c r="E34" s="21">
        <f>Model!F55</f>
        <v>0</v>
      </c>
      <c r="F34" s="21">
        <f>Model!G55</f>
        <v>0</v>
      </c>
      <c r="G34" s="21">
        <f>Model!H55</f>
        <v>0</v>
      </c>
      <c r="H34" s="21">
        <f>Model!I55</f>
        <v>0</v>
      </c>
      <c r="I34" s="21">
        <f>Model!J55</f>
        <v>0</v>
      </c>
      <c r="J34" s="21">
        <f>Model!K55</f>
        <v>0</v>
      </c>
      <c r="K34" s="21">
        <f>Model!L55</f>
        <v>0</v>
      </c>
      <c r="L34" s="21">
        <f>Model!M55</f>
        <v>0</v>
      </c>
      <c r="M34" s="21">
        <f>Model!N55</f>
        <v>0</v>
      </c>
    </row>
    <row r="35" spans="1:13" hidden="1" x14ac:dyDescent="0.45">
      <c r="B35" s="5" t="s">
        <v>38</v>
      </c>
      <c r="C35" s="21">
        <f>RevBuild!D46</f>
        <v>-1.2703323249988898</v>
      </c>
    </row>
    <row r="36" spans="1:13" hidden="1" x14ac:dyDescent="0.45">
      <c r="B36" s="5" t="s">
        <v>39</v>
      </c>
      <c r="C36" s="21">
        <f>Historicals!I86</f>
        <v>-24.198581560282037</v>
      </c>
    </row>
    <row r="37" spans="1:13" hidden="1" x14ac:dyDescent="0.45">
      <c r="B37" s="5" t="s">
        <v>40</v>
      </c>
      <c r="C37" s="21">
        <f>Ratios!E20</f>
        <v>0</v>
      </c>
      <c r="D37" s="21">
        <f>Ratios!F20</f>
        <v>0</v>
      </c>
      <c r="E37" s="21">
        <f>Ratios!G20</f>
        <v>0</v>
      </c>
      <c r="F37" s="21">
        <f>Ratios!H20</f>
        <v>0</v>
      </c>
      <c r="G37" s="21">
        <f>Ratios!I20</f>
        <v>0</v>
      </c>
      <c r="H37" s="21">
        <f>Ratios!J20</f>
        <v>0</v>
      </c>
      <c r="I37" s="21">
        <f>Ratios!K20</f>
        <v>0</v>
      </c>
      <c r="J37" s="21">
        <f>Ratios!L20</f>
        <v>0</v>
      </c>
      <c r="K37" s="21">
        <f>Ratios!M20</f>
        <v>0</v>
      </c>
      <c r="L37" s="21">
        <f>Ratios!N20</f>
        <v>0</v>
      </c>
      <c r="M37" s="9"/>
    </row>
    <row r="38" spans="1:13" hidden="1" x14ac:dyDescent="0.45">
      <c r="B38" s="5" t="s">
        <v>41</v>
      </c>
      <c r="C38" s="21">
        <f>Model!E63-Model!E53</f>
        <v>0</v>
      </c>
      <c r="D38" s="21">
        <f>Model!F63-Model!F53</f>
        <v>0</v>
      </c>
      <c r="E38" s="21">
        <f>Model!G63-Model!G53</f>
        <v>0</v>
      </c>
      <c r="F38" s="21">
        <f>Model!H63-Model!H53</f>
        <v>0</v>
      </c>
      <c r="G38" s="21">
        <f>Model!I63-Model!I53</f>
        <v>0</v>
      </c>
      <c r="H38" s="21">
        <f>Model!J63-Model!J53</f>
        <v>0</v>
      </c>
      <c r="I38" s="21">
        <f>Model!K63-Model!K53</f>
        <v>0</v>
      </c>
      <c r="J38" s="21">
        <f>Model!L63-Model!L53</f>
        <v>0</v>
      </c>
      <c r="K38" s="21">
        <f>Model!M63-Model!M53</f>
        <v>0</v>
      </c>
      <c r="L38" s="21">
        <f>Model!N63-Model!N53</f>
        <v>0</v>
      </c>
      <c r="M38" s="9"/>
    </row>
    <row r="39" spans="1:13" hidden="1" x14ac:dyDescent="0.45">
      <c r="B39" s="5" t="s">
        <v>42</v>
      </c>
      <c r="C39" s="22">
        <f>Scenarios!$F$42</f>
        <v>1</v>
      </c>
    </row>
    <row r="40" spans="1:13" hidden="1" x14ac:dyDescent="0.45">
      <c r="B40" s="5" t="s">
        <v>43</v>
      </c>
      <c r="C40" s="21">
        <f>Model!E35-Assumptions!$D$11</f>
        <v>5781.4965925898614</v>
      </c>
    </row>
    <row r="41" spans="1:13" hidden="1" x14ac:dyDescent="0.45">
      <c r="B41" s="5" t="s">
        <v>44</v>
      </c>
      <c r="C41" s="21">
        <f>Historicals!D34</f>
        <v>0</v>
      </c>
      <c r="D41" s="21">
        <f>Historicals!E34</f>
        <v>0</v>
      </c>
      <c r="E41" s="21">
        <f>Historicals!F34</f>
        <v>0</v>
      </c>
      <c r="F41" s="21">
        <f>Historicals!G34</f>
        <v>0</v>
      </c>
      <c r="G41" s="21">
        <f>Historicals!H34</f>
        <v>0</v>
      </c>
    </row>
    <row r="42" spans="1:13" hidden="1" x14ac:dyDescent="0.45">
      <c r="B42" s="23" t="s">
        <v>45</v>
      </c>
      <c r="C42" s="21">
        <f>Model!D6-Historicals!H6</f>
        <v>-1.2703323249988898</v>
      </c>
    </row>
    <row r="43" spans="1:13" ht="28.5" hidden="1" customHeight="1" x14ac:dyDescent="0.45">
      <c r="B43" s="24" t="s">
        <v>46</v>
      </c>
    </row>
    <row r="44" spans="1:13" hidden="1" x14ac:dyDescent="0.45"/>
    <row r="45" spans="1:13" hidden="1" x14ac:dyDescent="0.45">
      <c r="B45" s="25"/>
    </row>
    <row r="46" spans="1:13" x14ac:dyDescent="0.45">
      <c r="B46" s="9"/>
    </row>
    <row r="47" spans="1:13" x14ac:dyDescent="0.45">
      <c r="B47" s="9"/>
    </row>
    <row r="48" spans="1:13" x14ac:dyDescent="0.45">
      <c r="B48" s="9"/>
    </row>
    <row r="49" spans="2:2" x14ac:dyDescent="0.45">
      <c r="B49" s="9"/>
    </row>
    <row r="50" spans="2:2" x14ac:dyDescent="0.45">
      <c r="B50" s="9"/>
    </row>
  </sheetData>
  <pageMargins left="0.75" right="0.75" top="1" bottom="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2"/>
  <sheetViews>
    <sheetView showGridLines="0" zoomScaleNormal="100" workbookViewId="0">
      <pane xSplit="3" ySplit="4" topLeftCell="D23" activePane="bottomRight" state="frozen"/>
      <selection pane="topRight" activeCell="D1" sqref="D1"/>
      <selection pane="bottomLeft" activeCell="A5" sqref="A5"/>
      <selection pane="bottomRight" activeCell="J92" sqref="J92"/>
    </sheetView>
  </sheetViews>
  <sheetFormatPr defaultColWidth="8.6640625" defaultRowHeight="14.25" x14ac:dyDescent="0.45"/>
  <cols>
    <col min="1" max="1" width="3.06640625" customWidth="1"/>
    <col min="2" max="2" width="58" customWidth="1"/>
    <col min="3" max="3" width="10" customWidth="1"/>
    <col min="4" max="10" width="12.46484375" customWidth="1"/>
  </cols>
  <sheetData>
    <row r="1" spans="1:10" x14ac:dyDescent="0.45">
      <c r="B1" s="1"/>
    </row>
    <row r="2" spans="1:10" x14ac:dyDescent="0.45">
      <c r="B2" s="1" t="s">
        <v>47</v>
      </c>
    </row>
    <row r="4" spans="1:10" x14ac:dyDescent="0.45">
      <c r="A4" s="12" t="s">
        <v>2</v>
      </c>
      <c r="B4" s="3" t="s">
        <v>48</v>
      </c>
      <c r="C4" s="12" t="s">
        <v>49</v>
      </c>
      <c r="D4" s="12" t="s">
        <v>50</v>
      </c>
      <c r="E4" s="12" t="s">
        <v>51</v>
      </c>
      <c r="F4" s="12" t="s">
        <v>52</v>
      </c>
      <c r="G4" s="12" t="s">
        <v>53</v>
      </c>
      <c r="H4" s="12" t="s">
        <v>23</v>
      </c>
      <c r="I4" s="12" t="s">
        <v>54</v>
      </c>
      <c r="J4" s="12" t="s">
        <v>55</v>
      </c>
    </row>
    <row r="5" spans="1:10" x14ac:dyDescent="0.45">
      <c r="A5" s="26" t="s">
        <v>2</v>
      </c>
      <c r="B5" s="27" t="s">
        <v>56</v>
      </c>
      <c r="C5" s="28"/>
      <c r="D5" s="29"/>
      <c r="E5" s="29"/>
      <c r="F5" s="29"/>
      <c r="G5" s="29"/>
      <c r="H5" s="29"/>
      <c r="I5" s="29"/>
      <c r="J5" s="29"/>
    </row>
    <row r="6" spans="1:10" x14ac:dyDescent="0.45">
      <c r="B6" s="5" t="s">
        <v>57</v>
      </c>
      <c r="C6" s="30" t="s">
        <v>58</v>
      </c>
      <c r="D6" s="83">
        <v>1994</v>
      </c>
      <c r="E6" s="83">
        <v>4192</v>
      </c>
      <c r="F6" s="83">
        <v>7079</v>
      </c>
      <c r="G6" s="83">
        <v>12114</v>
      </c>
      <c r="H6" s="83">
        <v>20243</v>
      </c>
      <c r="I6" s="83">
        <v>16315</v>
      </c>
      <c r="J6" s="83">
        <v>37072</v>
      </c>
    </row>
    <row r="7" spans="1:10" x14ac:dyDescent="0.45">
      <c r="B7" s="9" t="s">
        <v>59</v>
      </c>
      <c r="C7" s="30" t="s">
        <v>60</v>
      </c>
      <c r="E7" s="33">
        <f>E6/D6-1</f>
        <v>1.1023069207622869</v>
      </c>
      <c r="F7" s="33">
        <f>F6/E6-1</f>
        <v>0.68869274809160297</v>
      </c>
      <c r="G7" s="33">
        <f>G6/F6-1</f>
        <v>0.71125865235202723</v>
      </c>
      <c r="H7" s="33">
        <f>H6/G6-1</f>
        <v>0.67104176985306263</v>
      </c>
    </row>
    <row r="8" spans="1:10" x14ac:dyDescent="0.45">
      <c r="B8" s="9" t="s">
        <v>61</v>
      </c>
      <c r="C8" s="30" t="s">
        <v>58</v>
      </c>
      <c r="D8" s="42">
        <v>-2461</v>
      </c>
      <c r="E8" s="42">
        <v>-6043</v>
      </c>
      <c r="F8" s="42">
        <v>-8290</v>
      </c>
      <c r="G8" s="42">
        <v>-12071</v>
      </c>
      <c r="H8" s="42">
        <v>-19606</v>
      </c>
      <c r="I8" s="42">
        <v>-15947</v>
      </c>
      <c r="J8" s="42">
        <v>-36350</v>
      </c>
    </row>
    <row r="9" spans="1:10" x14ac:dyDescent="0.45">
      <c r="B9" s="5" t="s">
        <v>507</v>
      </c>
      <c r="C9" s="30" t="s">
        <v>58</v>
      </c>
      <c r="D9" s="84">
        <f t="shared" ref="D9:J9" si="0">D6+D8</f>
        <v>-467</v>
      </c>
      <c r="E9" s="84">
        <f t="shared" si="0"/>
        <v>-1851</v>
      </c>
      <c r="F9" s="84">
        <f t="shared" si="0"/>
        <v>-1211</v>
      </c>
      <c r="G9" s="84">
        <f t="shared" si="0"/>
        <v>43</v>
      </c>
      <c r="H9" s="84">
        <f t="shared" si="0"/>
        <v>637</v>
      </c>
      <c r="I9" s="84">
        <f t="shared" si="0"/>
        <v>368</v>
      </c>
      <c r="J9" s="84">
        <f t="shared" si="0"/>
        <v>722</v>
      </c>
    </row>
    <row r="10" spans="1:10" x14ac:dyDescent="0.45">
      <c r="B10" s="9" t="s">
        <v>508</v>
      </c>
      <c r="C10" s="30" t="s">
        <v>60</v>
      </c>
      <c r="D10" s="33">
        <f t="shared" ref="D10:J10" si="1">D9/D6</f>
        <v>-0.23420260782347041</v>
      </c>
      <c r="E10" s="33">
        <f t="shared" si="1"/>
        <v>-0.44155534351145037</v>
      </c>
      <c r="F10" s="33">
        <f t="shared" si="1"/>
        <v>-0.17106936007910722</v>
      </c>
      <c r="G10" s="33">
        <f t="shared" si="1"/>
        <v>3.549612019151395E-3</v>
      </c>
      <c r="H10" s="33">
        <f t="shared" si="1"/>
        <v>3.1467667835795091E-2</v>
      </c>
      <c r="I10" s="33">
        <f t="shared" si="1"/>
        <v>2.2555930125651241E-2</v>
      </c>
      <c r="J10" s="33">
        <f t="shared" si="1"/>
        <v>1.9475615019421667E-2</v>
      </c>
    </row>
    <row r="11" spans="1:10" x14ac:dyDescent="0.45">
      <c r="B11" s="9" t="s">
        <v>62</v>
      </c>
      <c r="C11" s="30" t="s">
        <v>58</v>
      </c>
      <c r="D11" s="42">
        <v>-200</v>
      </c>
      <c r="E11" s="42">
        <v>793</v>
      </c>
      <c r="F11" s="42">
        <v>682</v>
      </c>
      <c r="G11" s="42">
        <v>846</v>
      </c>
      <c r="H11" s="42">
        <v>1077</v>
      </c>
      <c r="I11" s="42">
        <v>348</v>
      </c>
      <c r="J11" s="42">
        <v>1054</v>
      </c>
    </row>
    <row r="12" spans="1:10" x14ac:dyDescent="0.45">
      <c r="B12" s="9" t="s">
        <v>63</v>
      </c>
      <c r="C12" s="30" t="s">
        <v>58</v>
      </c>
      <c r="D12" s="42">
        <v>-138</v>
      </c>
      <c r="E12" s="42">
        <v>-150</v>
      </c>
      <c r="F12" s="42">
        <v>-437</v>
      </c>
      <c r="G12" s="42">
        <v>-526</v>
      </c>
      <c r="H12" s="42">
        <v>-863</v>
      </c>
      <c r="I12" s="42">
        <v>-439</v>
      </c>
      <c r="J12" s="42">
        <v>-1129</v>
      </c>
    </row>
    <row r="13" spans="1:10" x14ac:dyDescent="0.45">
      <c r="B13" s="9" t="s">
        <v>64</v>
      </c>
      <c r="C13" s="30" t="s">
        <v>58</v>
      </c>
      <c r="D13" s="42">
        <v>-10</v>
      </c>
      <c r="E13" s="42">
        <v>-12</v>
      </c>
      <c r="F13" s="42">
        <v>-49</v>
      </c>
      <c r="G13" s="42">
        <v>-72</v>
      </c>
      <c r="H13" s="42">
        <v>-154</v>
      </c>
      <c r="I13" s="42">
        <v>-106</v>
      </c>
      <c r="J13" s="42">
        <v>-260</v>
      </c>
    </row>
    <row r="14" spans="1:10" x14ac:dyDescent="0.45">
      <c r="B14" s="5" t="s">
        <v>253</v>
      </c>
      <c r="C14" s="30" t="s">
        <v>58</v>
      </c>
      <c r="D14" s="84">
        <f>SUM(D9:D13)</f>
        <v>-815.23420260782348</v>
      </c>
      <c r="E14" s="84">
        <f t="shared" ref="E14:J14" si="2">SUM(E9:E13)</f>
        <v>-1220.4415553435115</v>
      </c>
      <c r="F14" s="84">
        <f t="shared" si="2"/>
        <v>-1015.1710693600792</v>
      </c>
      <c r="G14" s="84">
        <f t="shared" si="2"/>
        <v>291.00354961201913</v>
      </c>
      <c r="H14" s="84">
        <f t="shared" si="2"/>
        <v>697.03146766783584</v>
      </c>
      <c r="I14" s="84">
        <f t="shared" si="2"/>
        <v>171.02255593012569</v>
      </c>
      <c r="J14" s="84">
        <f t="shared" si="2"/>
        <v>387.01947561501947</v>
      </c>
    </row>
    <row r="15" spans="1:10" x14ac:dyDescent="0.45">
      <c r="B15" s="9" t="s">
        <v>65</v>
      </c>
      <c r="C15" s="30" t="s">
        <v>58</v>
      </c>
      <c r="D15" s="42">
        <v>-1</v>
      </c>
      <c r="E15" s="42">
        <v>-2</v>
      </c>
      <c r="F15" s="42">
        <v>44</v>
      </c>
      <c r="G15" s="42">
        <v>60</v>
      </c>
      <c r="H15" s="42">
        <v>-170</v>
      </c>
      <c r="I15" s="42">
        <v>-68</v>
      </c>
      <c r="J15" s="42">
        <v>-195</v>
      </c>
    </row>
    <row r="16" spans="1:10" x14ac:dyDescent="0.45">
      <c r="B16" s="5" t="s">
        <v>66</v>
      </c>
      <c r="C16" s="30" t="s">
        <v>58</v>
      </c>
      <c r="D16" s="85">
        <f>SUM(D14:D15)</f>
        <v>-816.23420260782348</v>
      </c>
      <c r="E16" s="85">
        <f t="shared" ref="E16:J16" si="3">SUM(E14:E15)</f>
        <v>-1222.4415553435115</v>
      </c>
      <c r="F16" s="85">
        <f t="shared" si="3"/>
        <v>-971.17106936007917</v>
      </c>
      <c r="G16" s="85">
        <f t="shared" si="3"/>
        <v>351.00354961201913</v>
      </c>
      <c r="H16" s="85">
        <f t="shared" si="3"/>
        <v>527.03146766783584</v>
      </c>
      <c r="I16" s="85">
        <f t="shared" si="3"/>
        <v>103.02255593012569</v>
      </c>
      <c r="J16" s="85">
        <f t="shared" si="3"/>
        <v>192.01947561501947</v>
      </c>
    </row>
    <row r="17" spans="1:10" x14ac:dyDescent="0.45">
      <c r="B17" s="9" t="s">
        <v>67</v>
      </c>
      <c r="C17" s="30" t="s">
        <v>68</v>
      </c>
      <c r="E17" s="36">
        <v>-1.54</v>
      </c>
      <c r="F17" s="36">
        <v>-1.1399999999999999</v>
      </c>
      <c r="G17" s="36">
        <v>0.4</v>
      </c>
      <c r="H17" s="36">
        <v>0.55000000000000004</v>
      </c>
      <c r="I17" s="36">
        <v>0.11</v>
      </c>
      <c r="J17" s="36">
        <v>0.21</v>
      </c>
    </row>
    <row r="18" spans="1:10" x14ac:dyDescent="0.45">
      <c r="B18" s="5" t="s">
        <v>509</v>
      </c>
      <c r="D18" s="21">
        <f t="shared" ref="D18:J18" si="4">IF(ABS(D9+D11+D12+D13-D14)&lt;=1,0,D9+D11+D12+D13-D14)</f>
        <v>0</v>
      </c>
      <c r="E18" s="21">
        <f t="shared" si="4"/>
        <v>0</v>
      </c>
      <c r="F18" s="21">
        <f t="shared" si="4"/>
        <v>0</v>
      </c>
      <c r="G18" s="21">
        <f t="shared" si="4"/>
        <v>0</v>
      </c>
      <c r="H18" s="21">
        <f t="shared" si="4"/>
        <v>0</v>
      </c>
      <c r="I18" s="21">
        <f t="shared" si="4"/>
        <v>0</v>
      </c>
      <c r="J18" s="21">
        <f t="shared" si="4"/>
        <v>0</v>
      </c>
    </row>
    <row r="20" spans="1:10" x14ac:dyDescent="0.45">
      <c r="A20" s="38" t="s">
        <v>2</v>
      </c>
      <c r="B20" s="27" t="s">
        <v>69</v>
      </c>
      <c r="C20" s="28"/>
      <c r="D20" s="29"/>
      <c r="E20" s="29"/>
      <c r="F20" s="29"/>
      <c r="G20" s="29"/>
      <c r="H20" s="29"/>
      <c r="I20" s="29"/>
      <c r="J20" s="29"/>
    </row>
    <row r="21" spans="1:10" x14ac:dyDescent="0.45">
      <c r="B21" s="9" t="s">
        <v>70</v>
      </c>
      <c r="C21" s="30" t="s">
        <v>58</v>
      </c>
      <c r="D21" s="34">
        <v>0</v>
      </c>
      <c r="E21" s="34">
        <v>764</v>
      </c>
      <c r="F21" s="34">
        <v>836</v>
      </c>
      <c r="G21" s="34">
        <v>868</v>
      </c>
      <c r="H21" s="34">
        <v>907</v>
      </c>
    </row>
    <row r="22" spans="1:10" x14ac:dyDescent="0.45">
      <c r="B22" s="9" t="s">
        <v>71</v>
      </c>
      <c r="C22" s="30" t="s">
        <v>58</v>
      </c>
      <c r="D22" s="42">
        <v>7644</v>
      </c>
      <c r="E22" s="42">
        <v>15741</v>
      </c>
      <c r="F22" s="42">
        <v>18624</v>
      </c>
      <c r="G22" s="42">
        <v>19545</v>
      </c>
      <c r="H22" s="42">
        <v>29410</v>
      </c>
    </row>
    <row r="23" spans="1:10" x14ac:dyDescent="0.45">
      <c r="B23" s="5" t="s">
        <v>72</v>
      </c>
      <c r="C23" s="30" t="s">
        <v>58</v>
      </c>
      <c r="D23" s="84">
        <f>D21+D22</f>
        <v>7644</v>
      </c>
      <c r="E23" s="84">
        <f>E21+E22</f>
        <v>16505</v>
      </c>
      <c r="F23" s="84">
        <f>F21+F22</f>
        <v>19460</v>
      </c>
      <c r="G23" s="84">
        <f>G21+G22</f>
        <v>20413</v>
      </c>
      <c r="H23" s="84">
        <f>H21+H22</f>
        <v>30317</v>
      </c>
    </row>
    <row r="24" spans="1:10" x14ac:dyDescent="0.45">
      <c r="B24" s="9" t="s">
        <v>73</v>
      </c>
      <c r="C24" s="30" t="s">
        <v>58</v>
      </c>
      <c r="D24" s="42">
        <v>527</v>
      </c>
      <c r="E24" s="42">
        <v>70</v>
      </c>
      <c r="F24" s="42">
        <v>507</v>
      </c>
      <c r="G24" s="42">
        <v>749</v>
      </c>
      <c r="H24" s="42">
        <v>2045</v>
      </c>
    </row>
    <row r="25" spans="1:10" x14ac:dyDescent="0.45">
      <c r="B25" s="9" t="s">
        <v>74</v>
      </c>
      <c r="C25" s="30" t="s">
        <v>58</v>
      </c>
      <c r="D25" s="42">
        <v>532</v>
      </c>
      <c r="E25" s="42">
        <v>751</v>
      </c>
      <c r="F25" s="42">
        <v>1632</v>
      </c>
      <c r="G25" s="42">
        <v>2194</v>
      </c>
      <c r="H25" s="42">
        <v>3261</v>
      </c>
    </row>
    <row r="26" spans="1:10" x14ac:dyDescent="0.45">
      <c r="B26" s="5" t="s">
        <v>75</v>
      </c>
      <c r="C26" s="30" t="s">
        <v>58</v>
      </c>
      <c r="D26" s="84">
        <f>D24+D25</f>
        <v>1059</v>
      </c>
      <c r="E26" s="84">
        <f>E24+E25</f>
        <v>821</v>
      </c>
      <c r="F26" s="84">
        <f>F24+F25</f>
        <v>2139</v>
      </c>
      <c r="G26" s="84">
        <f>G24+G25</f>
        <v>2943</v>
      </c>
      <c r="H26" s="84">
        <f>H24+H25</f>
        <v>5306</v>
      </c>
    </row>
    <row r="27" spans="1:10" x14ac:dyDescent="0.45">
      <c r="B27" s="5" t="s">
        <v>76</v>
      </c>
      <c r="C27" s="30" t="s">
        <v>58</v>
      </c>
      <c r="D27" s="86">
        <f>D23+D26</f>
        <v>8703</v>
      </c>
      <c r="E27" s="86">
        <f>E23+E26</f>
        <v>17326</v>
      </c>
      <c r="F27" s="86">
        <f>F23+F26</f>
        <v>21599</v>
      </c>
      <c r="G27" s="86">
        <f>G23+G26</f>
        <v>23356</v>
      </c>
      <c r="H27" s="86">
        <f>H23+H26</f>
        <v>35623</v>
      </c>
    </row>
    <row r="28" spans="1:10" x14ac:dyDescent="0.45">
      <c r="D28" s="87"/>
      <c r="E28" s="87"/>
      <c r="F28" s="87"/>
      <c r="G28" s="87"/>
      <c r="H28" s="87"/>
    </row>
    <row r="29" spans="1:10" x14ac:dyDescent="0.45">
      <c r="B29" s="9" t="s">
        <v>77</v>
      </c>
      <c r="C29" s="30" t="s">
        <v>58</v>
      </c>
      <c r="D29" s="42">
        <v>1539</v>
      </c>
      <c r="E29" s="42">
        <v>1404</v>
      </c>
      <c r="F29" s="42">
        <v>6344</v>
      </c>
      <c r="G29" s="42">
        <v>6448</v>
      </c>
      <c r="H29" s="42">
        <v>9532</v>
      </c>
    </row>
    <row r="30" spans="1:10" x14ac:dyDescent="0.45">
      <c r="B30" s="9" t="s">
        <v>78</v>
      </c>
      <c r="C30" s="30" t="s">
        <v>58</v>
      </c>
      <c r="D30" s="42">
        <v>0</v>
      </c>
      <c r="E30" s="42">
        <v>1</v>
      </c>
      <c r="F30" s="42">
        <v>7</v>
      </c>
      <c r="G30" s="42">
        <v>18</v>
      </c>
      <c r="H30" s="42">
        <v>51</v>
      </c>
    </row>
    <row r="31" spans="1:10" x14ac:dyDescent="0.45">
      <c r="B31" s="9" t="s">
        <v>79</v>
      </c>
      <c r="C31" s="30" t="s">
        <v>58</v>
      </c>
      <c r="D31" s="42">
        <v>2205</v>
      </c>
      <c r="E31" s="42">
        <v>4718</v>
      </c>
      <c r="F31" s="42">
        <v>6765</v>
      </c>
      <c r="G31" s="42">
        <v>11645</v>
      </c>
      <c r="H31" s="42">
        <v>13192</v>
      </c>
    </row>
    <row r="32" spans="1:10" x14ac:dyDescent="0.45">
      <c r="B32" s="9" t="s">
        <v>80</v>
      </c>
      <c r="C32" s="30" t="s">
        <v>58</v>
      </c>
      <c r="D32" s="42">
        <v>4959</v>
      </c>
      <c r="E32" s="42">
        <v>11203</v>
      </c>
      <c r="F32" s="42">
        <v>8483</v>
      </c>
      <c r="G32" s="42">
        <v>5245</v>
      </c>
      <c r="H32" s="42">
        <v>12848</v>
      </c>
    </row>
    <row r="33" spans="1:10" x14ac:dyDescent="0.45">
      <c r="B33" s="5" t="s">
        <v>81</v>
      </c>
      <c r="C33" s="30" t="s">
        <v>58</v>
      </c>
      <c r="D33" s="88">
        <f>SUM(D29:D32)</f>
        <v>8703</v>
      </c>
      <c r="E33" s="88">
        <f>SUM(E29:E32)</f>
        <v>17326</v>
      </c>
      <c r="F33" s="88">
        <f>SUM(F29:F32)</f>
        <v>21599</v>
      </c>
      <c r="G33" s="88">
        <f>SUM(G29:G32)</f>
        <v>23356</v>
      </c>
      <c r="H33" s="88">
        <f>SUM(H29:H32)</f>
        <v>35623</v>
      </c>
    </row>
    <row r="34" spans="1:10" x14ac:dyDescent="0.45">
      <c r="B34" s="5" t="s">
        <v>82</v>
      </c>
      <c r="D34" s="89">
        <f>D33-D27</f>
        <v>0</v>
      </c>
      <c r="E34" s="89">
        <f>E33-E27</f>
        <v>0</v>
      </c>
      <c r="F34" s="89">
        <f>F33-F27</f>
        <v>0</v>
      </c>
      <c r="G34" s="89">
        <f>G33-G27</f>
        <v>0</v>
      </c>
      <c r="H34" s="89">
        <f>H33-H27</f>
        <v>0</v>
      </c>
    </row>
    <row r="35" spans="1:10" x14ac:dyDescent="0.45">
      <c r="B35" s="9" t="s">
        <v>83</v>
      </c>
      <c r="C35" s="30" t="s">
        <v>58</v>
      </c>
      <c r="D35" s="40">
        <f>D31+D32-D25</f>
        <v>6632</v>
      </c>
      <c r="E35" s="40">
        <f>E31+E32-E25</f>
        <v>15170</v>
      </c>
      <c r="F35" s="40">
        <f>F31+F32-F25</f>
        <v>13616</v>
      </c>
      <c r="G35" s="40">
        <f>G31+G32-G25</f>
        <v>14696</v>
      </c>
      <c r="H35" s="40">
        <f>H31+H32-H25</f>
        <v>22779</v>
      </c>
    </row>
    <row r="37" spans="1:10" x14ac:dyDescent="0.45">
      <c r="A37" s="26" t="s">
        <v>2</v>
      </c>
      <c r="B37" s="27" t="s">
        <v>84</v>
      </c>
      <c r="C37" s="28"/>
      <c r="D37" s="29"/>
      <c r="E37" s="29"/>
      <c r="F37" s="29"/>
      <c r="G37" s="29"/>
      <c r="H37" s="29"/>
      <c r="I37" s="29"/>
      <c r="J37" s="29"/>
    </row>
    <row r="38" spans="1:10" x14ac:dyDescent="0.45">
      <c r="B38" s="9" t="s">
        <v>85</v>
      </c>
      <c r="C38" s="30" t="s">
        <v>58</v>
      </c>
      <c r="D38" s="42">
        <v>-1018</v>
      </c>
      <c r="E38" s="42">
        <v>-693</v>
      </c>
      <c r="F38" s="42">
        <v>-844</v>
      </c>
      <c r="G38" s="42">
        <v>646</v>
      </c>
      <c r="H38" s="42">
        <v>308</v>
      </c>
    </row>
    <row r="39" spans="1:10" x14ac:dyDescent="0.45">
      <c r="B39" s="9" t="s">
        <v>86</v>
      </c>
      <c r="C39" s="30" t="s">
        <v>58</v>
      </c>
      <c r="D39" s="42">
        <v>-5245</v>
      </c>
      <c r="E39" s="42">
        <v>-7971</v>
      </c>
      <c r="F39" s="42">
        <v>797</v>
      </c>
      <c r="G39" s="42">
        <v>-348</v>
      </c>
      <c r="H39" s="42">
        <v>-7993</v>
      </c>
    </row>
    <row r="40" spans="1:10" x14ac:dyDescent="0.45">
      <c r="B40" s="9" t="s">
        <v>87</v>
      </c>
      <c r="C40" s="30" t="s">
        <v>58</v>
      </c>
      <c r="D40" s="42">
        <v>6402</v>
      </c>
      <c r="E40" s="42">
        <v>8750</v>
      </c>
      <c r="F40" s="42">
        <v>-127</v>
      </c>
      <c r="G40" s="42">
        <v>-207</v>
      </c>
      <c r="H40" s="42">
        <v>8042</v>
      </c>
    </row>
    <row r="41" spans="1:10" x14ac:dyDescent="0.45">
      <c r="B41" s="5" t="s">
        <v>88</v>
      </c>
      <c r="C41" s="30" t="s">
        <v>58</v>
      </c>
      <c r="D41" s="84">
        <f>SUM(D38:D40)</f>
        <v>139</v>
      </c>
      <c r="E41" s="84">
        <f>SUM(E38:E40)</f>
        <v>86</v>
      </c>
      <c r="F41" s="84">
        <f>SUM(F38:F40)</f>
        <v>-174</v>
      </c>
      <c r="G41" s="84">
        <f>SUM(G38:G40)</f>
        <v>91</v>
      </c>
      <c r="H41" s="84">
        <f>SUM(H38:H40)</f>
        <v>357</v>
      </c>
    </row>
    <row r="42" spans="1:10" x14ac:dyDescent="0.45">
      <c r="B42" s="9" t="s">
        <v>89</v>
      </c>
      <c r="C42" s="30" t="s">
        <v>58</v>
      </c>
      <c r="D42" s="42">
        <v>-1028</v>
      </c>
      <c r="E42" s="42">
        <v>-750</v>
      </c>
      <c r="F42" s="42">
        <v>-945</v>
      </c>
      <c r="G42" s="42">
        <v>444</v>
      </c>
      <c r="H42" s="42">
        <v>-623</v>
      </c>
    </row>
    <row r="43" spans="1:10" x14ac:dyDescent="0.45">
      <c r="B43" s="9" t="s">
        <v>90</v>
      </c>
      <c r="C43" s="30" t="s">
        <v>58</v>
      </c>
      <c r="D43" s="56">
        <f>D38-D42</f>
        <v>10</v>
      </c>
      <c r="E43" s="56">
        <f>E38-E42</f>
        <v>57</v>
      </c>
      <c r="F43" s="56">
        <f>F38-F42</f>
        <v>101</v>
      </c>
      <c r="G43" s="56">
        <f>G38-G42</f>
        <v>202</v>
      </c>
      <c r="H43" s="56">
        <f>H38-H42</f>
        <v>931</v>
      </c>
    </row>
    <row r="44" spans="1:10" x14ac:dyDescent="0.45">
      <c r="B44" s="9" t="s">
        <v>91</v>
      </c>
      <c r="C44" s="30" t="s">
        <v>60</v>
      </c>
      <c r="D44" s="33" t="str">
        <f>IF(D9&gt;0,D38/D9,"")</f>
        <v/>
      </c>
      <c r="E44" s="33" t="str">
        <f>IF(E9&gt;0,E38/E9,"")</f>
        <v/>
      </c>
      <c r="F44" s="33" t="str">
        <f>IF(F9&gt;0,F38/F9,"")</f>
        <v/>
      </c>
      <c r="G44" s="33">
        <f>IF(G9&gt;0,G38/G9,"")</f>
        <v>15.023255813953488</v>
      </c>
      <c r="H44" s="33">
        <f>IF(H9&gt;0,H38/H9,"")</f>
        <v>0.48351648351648352</v>
      </c>
    </row>
    <row r="46" spans="1:10" x14ac:dyDescent="0.45">
      <c r="A46" s="26" t="s">
        <v>2</v>
      </c>
      <c r="B46" s="27" t="s">
        <v>92</v>
      </c>
      <c r="C46" s="28"/>
      <c r="D46" s="29"/>
      <c r="E46" s="29"/>
      <c r="F46" s="29"/>
      <c r="G46" s="29"/>
      <c r="H46" s="29"/>
      <c r="I46" s="29"/>
      <c r="J46" s="29"/>
    </row>
    <row r="47" spans="1:10" x14ac:dyDescent="0.45">
      <c r="B47" s="9" t="s">
        <v>93</v>
      </c>
      <c r="C47" s="30" t="s">
        <v>94</v>
      </c>
      <c r="D47" s="42">
        <v>28</v>
      </c>
      <c r="E47" s="42">
        <v>28</v>
      </c>
      <c r="F47" s="42">
        <v>22</v>
      </c>
      <c r="G47" s="42">
        <v>11</v>
      </c>
      <c r="H47" s="42">
        <v>12</v>
      </c>
    </row>
    <row r="48" spans="1:10" x14ac:dyDescent="0.45">
      <c r="B48" s="9" t="s">
        <v>95</v>
      </c>
      <c r="C48" s="30" t="s">
        <v>94</v>
      </c>
      <c r="D48" s="42">
        <v>24</v>
      </c>
      <c r="E48" s="42">
        <v>14</v>
      </c>
      <c r="F48" s="42">
        <v>24</v>
      </c>
      <c r="G48" s="42">
        <v>24</v>
      </c>
      <c r="H48" s="42">
        <v>35</v>
      </c>
    </row>
    <row r="49" spans="1:10" x14ac:dyDescent="0.45">
      <c r="B49" s="9" t="s">
        <v>96</v>
      </c>
      <c r="C49" s="30" t="s">
        <v>94</v>
      </c>
      <c r="D49" s="42">
        <v>565</v>
      </c>
      <c r="E49" s="42">
        <v>298</v>
      </c>
      <c r="F49" s="42">
        <v>178</v>
      </c>
      <c r="G49" s="42">
        <v>112</v>
      </c>
      <c r="H49" s="42">
        <v>101</v>
      </c>
    </row>
    <row r="50" spans="1:10" x14ac:dyDescent="0.45">
      <c r="B50" s="5" t="s">
        <v>97</v>
      </c>
      <c r="C50" s="30" t="s">
        <v>94</v>
      </c>
      <c r="D50" s="43">
        <f>D47+D48-D49</f>
        <v>-513</v>
      </c>
      <c r="E50" s="43">
        <f>E47+E48-E49</f>
        <v>-256</v>
      </c>
      <c r="F50" s="43">
        <f>F47+F48-F49</f>
        <v>-132</v>
      </c>
      <c r="G50" s="43">
        <f>G47+G48-G49</f>
        <v>-77</v>
      </c>
      <c r="H50" s="43">
        <f>H47+H48-H49</f>
        <v>-54</v>
      </c>
    </row>
    <row r="51" spans="1:10" x14ac:dyDescent="0.45">
      <c r="B51" s="9" t="s">
        <v>98</v>
      </c>
      <c r="C51" s="30" t="s">
        <v>94</v>
      </c>
      <c r="D51" s="42">
        <v>96</v>
      </c>
      <c r="E51" s="42">
        <v>316</v>
      </c>
      <c r="F51" s="42">
        <v>200</v>
      </c>
      <c r="G51" s="42">
        <v>41</v>
      </c>
      <c r="H51" s="42">
        <v>45</v>
      </c>
    </row>
    <row r="52" spans="1:10" x14ac:dyDescent="0.45">
      <c r="B52" s="9" t="s">
        <v>99</v>
      </c>
      <c r="C52" s="30" t="s">
        <v>60</v>
      </c>
      <c r="D52" s="33">
        <f>D43/D6</f>
        <v>5.0150451354062184E-3</v>
      </c>
      <c r="E52" s="33">
        <f>E43/E6</f>
        <v>1.3597328244274809E-2</v>
      </c>
      <c r="F52" s="33">
        <f>F43/F6</f>
        <v>1.4267551914112163E-2</v>
      </c>
      <c r="G52" s="33">
        <f>G43/G6</f>
        <v>1.6674921578339112E-2</v>
      </c>
      <c r="H52" s="33">
        <f>H43/H6</f>
        <v>4.5991206836931288E-2</v>
      </c>
    </row>
    <row r="53" spans="1:10" x14ac:dyDescent="0.45">
      <c r="B53" s="9" t="s">
        <v>100</v>
      </c>
      <c r="C53" s="30" t="s">
        <v>60</v>
      </c>
      <c r="D53" s="44">
        <v>-0.12</v>
      </c>
      <c r="E53" s="44">
        <v>-0.13</v>
      </c>
      <c r="F53" s="44">
        <v>-0.06</v>
      </c>
      <c r="G53" s="44">
        <v>0.01</v>
      </c>
      <c r="H53" s="44">
        <v>0.03</v>
      </c>
    </row>
    <row r="54" spans="1:10" x14ac:dyDescent="0.45">
      <c r="B54" s="9" t="s">
        <v>101</v>
      </c>
      <c r="C54" s="30" t="s">
        <v>60</v>
      </c>
      <c r="E54" s="33">
        <f>E6/D6-1</f>
        <v>1.1023069207622869</v>
      </c>
      <c r="F54" s="33">
        <f>F6/E6-1</f>
        <v>0.68869274809160297</v>
      </c>
      <c r="G54" s="33">
        <f>G6/F6-1</f>
        <v>0.71125865235202723</v>
      </c>
      <c r="H54" s="33">
        <f>H6/G6-1</f>
        <v>0.67104176985306263</v>
      </c>
    </row>
    <row r="55" spans="1:10" x14ac:dyDescent="0.45">
      <c r="B55" s="9" t="s">
        <v>102</v>
      </c>
      <c r="C55" s="30" t="s">
        <v>94</v>
      </c>
      <c r="H55" s="11">
        <f>Ratios!F33</f>
        <v>-8.0000000000000036</v>
      </c>
    </row>
    <row r="57" spans="1:10" x14ac:dyDescent="0.45">
      <c r="A57" s="26" t="s">
        <v>2</v>
      </c>
      <c r="B57" s="27" t="s">
        <v>103</v>
      </c>
      <c r="C57" s="28"/>
      <c r="D57" s="29"/>
      <c r="E57" s="29"/>
      <c r="F57" s="29"/>
      <c r="G57" s="29"/>
      <c r="H57" s="29"/>
      <c r="I57" s="29"/>
      <c r="J57" s="29"/>
    </row>
    <row r="58" spans="1:10" x14ac:dyDescent="0.45">
      <c r="B58" s="9" t="s">
        <v>104</v>
      </c>
      <c r="C58" s="30" t="s">
        <v>58</v>
      </c>
      <c r="H58" s="34">
        <v>-5653</v>
      </c>
      <c r="I58" s="34">
        <v>-10076</v>
      </c>
      <c r="J58" s="34">
        <v>-21428</v>
      </c>
    </row>
    <row r="59" spans="1:10" x14ac:dyDescent="0.45">
      <c r="B59" s="9" t="s">
        <v>105</v>
      </c>
      <c r="C59" s="30" t="s">
        <v>58</v>
      </c>
      <c r="H59" s="34">
        <v>0</v>
      </c>
      <c r="I59" s="34">
        <v>-15</v>
      </c>
      <c r="J59" s="34">
        <v>-15</v>
      </c>
    </row>
    <row r="60" spans="1:10" x14ac:dyDescent="0.45">
      <c r="B60" s="9" t="s">
        <v>106</v>
      </c>
      <c r="C60" s="30" t="s">
        <v>58</v>
      </c>
      <c r="H60" s="34">
        <v>88</v>
      </c>
      <c r="I60" s="34">
        <v>290</v>
      </c>
      <c r="J60" s="34">
        <v>1616</v>
      </c>
    </row>
    <row r="61" spans="1:10" x14ac:dyDescent="0.45">
      <c r="B61" s="9" t="s">
        <v>107</v>
      </c>
      <c r="C61" s="30" t="s">
        <v>58</v>
      </c>
      <c r="H61" s="34">
        <v>-2558</v>
      </c>
      <c r="I61" s="34">
        <v>-914</v>
      </c>
      <c r="J61" s="34">
        <v>-2609</v>
      </c>
    </row>
    <row r="62" spans="1:10" x14ac:dyDescent="0.45">
      <c r="B62" s="9" t="s">
        <v>108</v>
      </c>
      <c r="C62" s="30" t="s">
        <v>58</v>
      </c>
      <c r="H62" s="34">
        <v>-1972</v>
      </c>
      <c r="I62" s="34">
        <v>-937</v>
      </c>
      <c r="J62" s="34">
        <v>-2414</v>
      </c>
    </row>
    <row r="63" spans="1:10" x14ac:dyDescent="0.45">
      <c r="B63" s="9" t="s">
        <v>109</v>
      </c>
      <c r="C63" s="30" t="s">
        <v>58</v>
      </c>
      <c r="H63" s="34">
        <v>-5728</v>
      </c>
      <c r="I63" s="34">
        <v>-2376</v>
      </c>
      <c r="J63" s="34">
        <v>-6458</v>
      </c>
    </row>
    <row r="64" spans="1:10" x14ac:dyDescent="0.45">
      <c r="B64" s="9" t="s">
        <v>110</v>
      </c>
      <c r="C64" s="30" t="s">
        <v>58</v>
      </c>
      <c r="H64" s="34">
        <v>-3783</v>
      </c>
      <c r="I64" s="34">
        <v>-1919</v>
      </c>
      <c r="J64" s="34">
        <v>-5042</v>
      </c>
    </row>
    <row r="65" spans="1:10" x14ac:dyDescent="0.45">
      <c r="B65" s="5" t="s">
        <v>111</v>
      </c>
      <c r="C65" s="30" t="s">
        <v>58</v>
      </c>
      <c r="H65" s="35">
        <f>SUM(H58:H64)</f>
        <v>-19606</v>
      </c>
      <c r="I65" s="35">
        <f>SUM(I58:I64)</f>
        <v>-15947</v>
      </c>
      <c r="J65" s="35">
        <f>SUM(J58:J64)</f>
        <v>-36350</v>
      </c>
    </row>
    <row r="66" spans="1:10" x14ac:dyDescent="0.45">
      <c r="B66" s="5" t="s">
        <v>112</v>
      </c>
      <c r="H66" s="21">
        <f>H65-H8</f>
        <v>0</v>
      </c>
      <c r="I66" s="21">
        <f>I65-I8</f>
        <v>0</v>
      </c>
      <c r="J66" s="21">
        <f>J65-J8</f>
        <v>0</v>
      </c>
    </row>
    <row r="68" spans="1:10" x14ac:dyDescent="0.45">
      <c r="A68" s="26" t="s">
        <v>2</v>
      </c>
      <c r="B68" s="27" t="s">
        <v>113</v>
      </c>
      <c r="C68" s="28"/>
      <c r="D68" s="29"/>
      <c r="E68" s="29"/>
      <c r="F68" s="29"/>
      <c r="G68" s="29"/>
      <c r="H68" s="29"/>
      <c r="I68" s="29"/>
      <c r="J68" s="29"/>
    </row>
    <row r="69" spans="1:10" x14ac:dyDescent="0.45">
      <c r="B69" s="9" t="s">
        <v>114</v>
      </c>
      <c r="C69" s="30" t="s">
        <v>58</v>
      </c>
      <c r="H69" s="34">
        <v>8080</v>
      </c>
      <c r="I69" s="34">
        <v>2676</v>
      </c>
      <c r="J69" s="34">
        <v>7422</v>
      </c>
    </row>
    <row r="70" spans="1:10" x14ac:dyDescent="0.45">
      <c r="B70" s="9" t="s">
        <v>115</v>
      </c>
      <c r="C70" s="30" t="s">
        <v>58</v>
      </c>
      <c r="H70" s="34">
        <v>5206</v>
      </c>
      <c r="I70" s="34">
        <v>12256</v>
      </c>
      <c r="J70" s="34">
        <v>24547</v>
      </c>
    </row>
    <row r="71" spans="1:10" x14ac:dyDescent="0.45">
      <c r="B71" s="9" t="s">
        <v>116</v>
      </c>
      <c r="C71" s="30" t="s">
        <v>58</v>
      </c>
      <c r="H71" s="34">
        <v>6196</v>
      </c>
      <c r="I71" s="34">
        <v>1070</v>
      </c>
      <c r="J71" s="34">
        <v>4388</v>
      </c>
    </row>
    <row r="72" spans="1:10" x14ac:dyDescent="0.45">
      <c r="B72" s="9" t="s">
        <v>117</v>
      </c>
      <c r="C72" s="30" t="s">
        <v>58</v>
      </c>
      <c r="H72" s="34">
        <v>731</v>
      </c>
      <c r="I72" s="34">
        <v>300</v>
      </c>
      <c r="J72" s="34">
        <v>692</v>
      </c>
    </row>
    <row r="73" spans="1:10" x14ac:dyDescent="0.45">
      <c r="B73" s="9" t="s">
        <v>118</v>
      </c>
      <c r="C73" s="30" t="s">
        <v>58</v>
      </c>
      <c r="H73" s="34">
        <v>30</v>
      </c>
      <c r="I73" s="34">
        <v>13</v>
      </c>
      <c r="J73" s="34">
        <v>23</v>
      </c>
    </row>
    <row r="74" spans="1:10" x14ac:dyDescent="0.45">
      <c r="B74" s="5" t="s">
        <v>119</v>
      </c>
      <c r="C74" s="30" t="s">
        <v>58</v>
      </c>
      <c r="H74" s="35">
        <f>SUM(H69:H73)</f>
        <v>20243</v>
      </c>
      <c r="I74" s="35">
        <f>SUM(I69:I73)</f>
        <v>16315</v>
      </c>
      <c r="J74" s="35">
        <f>SUM(J69:J73)</f>
        <v>37072</v>
      </c>
    </row>
    <row r="75" spans="1:10" x14ac:dyDescent="0.45">
      <c r="B75" s="5" t="s">
        <v>120</v>
      </c>
      <c r="H75" s="21">
        <f>H74-H6</f>
        <v>0</v>
      </c>
      <c r="I75" s="21">
        <f>I74-I6</f>
        <v>0</v>
      </c>
      <c r="J75" s="21">
        <f>J74-J6</f>
        <v>0</v>
      </c>
    </row>
    <row r="77" spans="1:10" x14ac:dyDescent="0.45">
      <c r="A77" s="26" t="s">
        <v>2</v>
      </c>
      <c r="B77" s="27" t="s">
        <v>121</v>
      </c>
      <c r="C77" s="28"/>
      <c r="D77" s="29"/>
      <c r="E77" s="29"/>
      <c r="F77" s="29"/>
      <c r="G77" s="29"/>
      <c r="H77" s="29"/>
      <c r="I77" s="29"/>
      <c r="J77" s="29"/>
    </row>
    <row r="78" spans="1:10" x14ac:dyDescent="0.45">
      <c r="B78" s="9" t="s">
        <v>122</v>
      </c>
      <c r="C78" s="30" t="s">
        <v>58</v>
      </c>
      <c r="I78" s="34">
        <v>531</v>
      </c>
    </row>
    <row r="79" spans="1:10" x14ac:dyDescent="0.45">
      <c r="B79" s="9" t="s">
        <v>123</v>
      </c>
      <c r="C79" s="30" t="s">
        <v>58</v>
      </c>
      <c r="I79" s="34">
        <v>4</v>
      </c>
    </row>
    <row r="80" spans="1:10" x14ac:dyDescent="0.45">
      <c r="B80" s="9" t="s">
        <v>124</v>
      </c>
      <c r="C80" s="30" t="s">
        <v>58</v>
      </c>
      <c r="I80" s="34">
        <v>-121</v>
      </c>
    </row>
    <row r="81" spans="1:10" x14ac:dyDescent="0.45">
      <c r="B81" s="9" t="s">
        <v>125</v>
      </c>
      <c r="C81" s="30" t="s">
        <v>58</v>
      </c>
      <c r="I81" s="34">
        <v>1</v>
      </c>
    </row>
    <row r="82" spans="1:10" x14ac:dyDescent="0.45">
      <c r="B82" s="9" t="s">
        <v>126</v>
      </c>
      <c r="C82" s="30" t="s">
        <v>58</v>
      </c>
      <c r="I82" s="34">
        <v>-51</v>
      </c>
    </row>
    <row r="83" spans="1:10" x14ac:dyDescent="0.45">
      <c r="B83" s="5" t="s">
        <v>127</v>
      </c>
      <c r="C83" s="30" t="s">
        <v>58</v>
      </c>
      <c r="I83" s="35">
        <f>SUM(I78:I82)</f>
        <v>364</v>
      </c>
    </row>
    <row r="84" spans="1:10" x14ac:dyDescent="0.45">
      <c r="B84" s="9" t="s">
        <v>128</v>
      </c>
      <c r="C84" s="30" t="s">
        <v>58</v>
      </c>
      <c r="I84" s="41">
        <f>I78/0.054</f>
        <v>9833.3333333333339</v>
      </c>
    </row>
    <row r="85" spans="1:10" x14ac:dyDescent="0.45">
      <c r="B85" s="9" t="s">
        <v>129</v>
      </c>
      <c r="C85" s="30" t="s">
        <v>58</v>
      </c>
      <c r="I85" s="41">
        <f>-I80/0.047</f>
        <v>2574.4680851063831</v>
      </c>
    </row>
    <row r="86" spans="1:10" x14ac:dyDescent="0.45">
      <c r="B86" s="5" t="s">
        <v>130</v>
      </c>
      <c r="I86" s="21">
        <f>I84+13300+I85-25732</f>
        <v>-24.198581560282037</v>
      </c>
    </row>
    <row r="88" spans="1:10" x14ac:dyDescent="0.45">
      <c r="A88" s="26" t="s">
        <v>2</v>
      </c>
      <c r="B88" s="27" t="s">
        <v>131</v>
      </c>
      <c r="C88" s="28"/>
      <c r="D88" s="29"/>
      <c r="E88" s="29"/>
      <c r="F88" s="29"/>
      <c r="G88" s="29"/>
      <c r="H88" s="29"/>
      <c r="I88" s="29"/>
      <c r="J88" s="29"/>
    </row>
    <row r="89" spans="1:10" x14ac:dyDescent="0.45">
      <c r="B89" s="9" t="s">
        <v>132</v>
      </c>
      <c r="G89" s="45">
        <v>526</v>
      </c>
      <c r="H89" s="46">
        <v>1301</v>
      </c>
      <c r="I89" s="46">
        <v>2027</v>
      </c>
      <c r="J89" s="46">
        <v>2027</v>
      </c>
    </row>
    <row r="90" spans="1:10" x14ac:dyDescent="0.45">
      <c r="B90" s="9" t="s">
        <v>133</v>
      </c>
      <c r="H90" s="45">
        <v>775</v>
      </c>
      <c r="I90" s="45">
        <v>211</v>
      </c>
      <c r="J90" s="45">
        <v>726</v>
      </c>
    </row>
    <row r="91" spans="1:10" x14ac:dyDescent="0.45">
      <c r="B91" s="9" t="s">
        <v>134</v>
      </c>
      <c r="H91" s="46">
        <v>22371</v>
      </c>
      <c r="I91" s="46">
        <v>13300</v>
      </c>
      <c r="J91" s="46">
        <v>34182</v>
      </c>
    </row>
    <row r="92" spans="1:10" x14ac:dyDescent="0.45">
      <c r="B92" s="9" t="s">
        <v>135</v>
      </c>
      <c r="H92" s="92">
        <v>1.1299999999999999</v>
      </c>
      <c r="I92" s="92">
        <v>1.21</v>
      </c>
      <c r="J92" s="92">
        <v>1.28</v>
      </c>
    </row>
    <row r="93" spans="1:10" x14ac:dyDescent="0.45">
      <c r="B93" s="9" t="s">
        <v>136</v>
      </c>
      <c r="H93" s="45">
        <v>6.71</v>
      </c>
      <c r="I93" s="45">
        <v>7.52</v>
      </c>
      <c r="J93" s="45">
        <v>7.52</v>
      </c>
    </row>
    <row r="94" spans="1:10" x14ac:dyDescent="0.45">
      <c r="B94" s="9" t="s">
        <v>137</v>
      </c>
      <c r="I94" s="45" t="s">
        <v>138</v>
      </c>
    </row>
    <row r="95" spans="1:10" x14ac:dyDescent="0.45">
      <c r="B95" s="9" t="s">
        <v>139</v>
      </c>
      <c r="I95" s="93">
        <v>0.16600000000000001</v>
      </c>
    </row>
    <row r="96" spans="1:10" x14ac:dyDescent="0.45">
      <c r="B96" s="9" t="s">
        <v>140</v>
      </c>
      <c r="I96" s="93">
        <v>0.21299999999999999</v>
      </c>
    </row>
    <row r="97" spans="2:9" x14ac:dyDescent="0.45">
      <c r="B97" s="9" t="s">
        <v>141</v>
      </c>
      <c r="I97" s="93">
        <v>5.3999999999999999E-2</v>
      </c>
    </row>
    <row r="98" spans="2:9" x14ac:dyDescent="0.45">
      <c r="B98" s="9" t="s">
        <v>142</v>
      </c>
      <c r="I98" s="93">
        <v>0</v>
      </c>
    </row>
    <row r="99" spans="2:9" x14ac:dyDescent="0.45">
      <c r="B99" s="9" t="s">
        <v>143</v>
      </c>
      <c r="I99" s="92">
        <v>0.48</v>
      </c>
    </row>
    <row r="100" spans="2:9" x14ac:dyDescent="0.45">
      <c r="B100" s="9" t="s">
        <v>144</v>
      </c>
      <c r="I100" s="45" t="s">
        <v>145</v>
      </c>
    </row>
    <row r="102" spans="2:9" x14ac:dyDescent="0.45">
      <c r="B102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2937"/>
    <pageSetUpPr fitToPage="1"/>
  </sheetPr>
  <dimension ref="A1:N61"/>
  <sheetViews>
    <sheetView showGridLines="0" tabSelected="1" zoomScale="87" zoomScaleNormal="87" workbookViewId="0">
      <pane xSplit="3" ySplit="4" topLeftCell="D11" activePane="bottomRight" state="frozen"/>
      <selection pane="topRight" activeCell="D1" sqref="D1"/>
      <selection pane="bottomLeft" activeCell="A31" sqref="A31"/>
      <selection pane="bottomRight" activeCell="D63" sqref="D63"/>
    </sheetView>
  </sheetViews>
  <sheetFormatPr defaultColWidth="8.6640625" defaultRowHeight="14.25" x14ac:dyDescent="0.45"/>
  <cols>
    <col min="1" max="1" width="3.06640625" customWidth="1"/>
    <col min="2" max="2" width="56" customWidth="1"/>
    <col min="3" max="3" width="11" customWidth="1"/>
    <col min="4" max="14" width="13" customWidth="1"/>
  </cols>
  <sheetData>
    <row r="1" spans="1:14" ht="15" customHeight="1" x14ac:dyDescent="0.45">
      <c r="B1" s="47"/>
    </row>
    <row r="2" spans="1:14" x14ac:dyDescent="0.45">
      <c r="B2" s="1" t="s">
        <v>146</v>
      </c>
    </row>
    <row r="4" spans="1:14" ht="15" customHeight="1" x14ac:dyDescent="0.45">
      <c r="A4" t="s">
        <v>2</v>
      </c>
      <c r="B4" s="3" t="s">
        <v>147</v>
      </c>
      <c r="C4" s="12" t="s">
        <v>49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27</v>
      </c>
      <c r="I4" s="12" t="s">
        <v>148</v>
      </c>
      <c r="J4" s="12" t="s">
        <v>149</v>
      </c>
      <c r="K4" s="12" t="s">
        <v>150</v>
      </c>
      <c r="L4" s="12" t="s">
        <v>151</v>
      </c>
      <c r="M4" s="12" t="s">
        <v>152</v>
      </c>
      <c r="N4" s="12" t="s">
        <v>153</v>
      </c>
    </row>
    <row r="5" spans="1:14" ht="15" customHeight="1" x14ac:dyDescent="0.45">
      <c r="B5" s="25" t="s">
        <v>510</v>
      </c>
    </row>
    <row r="6" spans="1:14" ht="15" customHeight="1" x14ac:dyDescent="0.45">
      <c r="B6" s="9" t="s">
        <v>154</v>
      </c>
      <c r="C6" s="37" t="s">
        <v>155</v>
      </c>
      <c r="D6" s="48">
        <v>242.87</v>
      </c>
    </row>
    <row r="7" spans="1:14" ht="15" customHeight="1" x14ac:dyDescent="0.45">
      <c r="B7" s="9" t="s">
        <v>156</v>
      </c>
      <c r="C7" s="37" t="s">
        <v>157</v>
      </c>
      <c r="D7" s="42">
        <v>965.04</v>
      </c>
    </row>
    <row r="8" spans="1:14" ht="15" customHeight="1" x14ac:dyDescent="0.45">
      <c r="B8" s="9" t="s">
        <v>158</v>
      </c>
      <c r="C8" s="37" t="s">
        <v>58</v>
      </c>
      <c r="D8" s="41">
        <f>$D$6*$D$7</f>
        <v>234379.2648</v>
      </c>
    </row>
    <row r="9" spans="1:14" ht="15" customHeight="1" x14ac:dyDescent="0.45">
      <c r="B9" s="9" t="s">
        <v>159</v>
      </c>
      <c r="C9" s="37" t="s">
        <v>155</v>
      </c>
      <c r="D9" s="49" t="s">
        <v>160</v>
      </c>
    </row>
    <row r="10" spans="1:14" ht="15" customHeight="1" x14ac:dyDescent="0.45">
      <c r="B10" s="9" t="s">
        <v>6</v>
      </c>
      <c r="C10" s="37" t="s">
        <v>155</v>
      </c>
      <c r="D10" s="13">
        <f>Summary!$C$8</f>
        <v>297</v>
      </c>
    </row>
    <row r="11" spans="1:14" ht="15" customHeight="1" x14ac:dyDescent="0.45">
      <c r="B11" s="9" t="s">
        <v>161</v>
      </c>
      <c r="C11" s="37" t="s">
        <v>58</v>
      </c>
      <c r="D11" s="34">
        <v>17820</v>
      </c>
    </row>
    <row r="13" spans="1:14" ht="15" customHeight="1" x14ac:dyDescent="0.45">
      <c r="A13" t="s">
        <v>2</v>
      </c>
      <c r="B13" s="25" t="s">
        <v>162</v>
      </c>
    </row>
    <row r="14" spans="1:14" ht="15" customHeight="1" x14ac:dyDescent="0.45">
      <c r="B14" s="9" t="s">
        <v>163</v>
      </c>
      <c r="C14" s="37" t="s">
        <v>164</v>
      </c>
      <c r="D14" s="50">
        <v>1301</v>
      </c>
      <c r="E14" s="50">
        <v>2300</v>
      </c>
      <c r="F14" s="50">
        <v>3300</v>
      </c>
      <c r="G14" s="50">
        <v>4300</v>
      </c>
      <c r="H14" s="50">
        <v>5200</v>
      </c>
      <c r="I14" s="50">
        <v>6000</v>
      </c>
      <c r="J14" s="50">
        <v>6700</v>
      </c>
      <c r="K14" s="50">
        <v>7300</v>
      </c>
      <c r="L14" s="50">
        <v>7800</v>
      </c>
      <c r="M14" s="50">
        <v>8200</v>
      </c>
      <c r="N14" s="50">
        <v>8500</v>
      </c>
    </row>
    <row r="15" spans="1:14" ht="15" customHeight="1" x14ac:dyDescent="0.45">
      <c r="B15" s="9" t="s">
        <v>165</v>
      </c>
      <c r="C15" s="37" t="s">
        <v>166</v>
      </c>
      <c r="D15" s="51">
        <v>6.71</v>
      </c>
      <c r="E15" s="51">
        <v>7.39</v>
      </c>
      <c r="F15" s="51">
        <v>7.9</v>
      </c>
      <c r="G15" s="51">
        <v>8.5</v>
      </c>
      <c r="H15" s="51">
        <v>9.15</v>
      </c>
      <c r="I15" s="51">
        <v>9.8000000000000007</v>
      </c>
      <c r="J15" s="51">
        <v>10.4</v>
      </c>
      <c r="K15" s="51">
        <v>10.95</v>
      </c>
      <c r="L15" s="51">
        <v>11.45</v>
      </c>
      <c r="M15" s="51">
        <v>11.9</v>
      </c>
      <c r="N15" s="51">
        <v>12.3</v>
      </c>
    </row>
    <row r="16" spans="1:14" ht="15" customHeight="1" x14ac:dyDescent="0.45">
      <c r="B16" s="9" t="s">
        <v>167</v>
      </c>
      <c r="C16" s="37" t="s">
        <v>60</v>
      </c>
      <c r="D16" s="44">
        <v>0.23269999999999999</v>
      </c>
      <c r="E16" s="44">
        <v>0.77800000000000002</v>
      </c>
      <c r="F16" s="44">
        <v>0.92</v>
      </c>
      <c r="G16" s="90">
        <f>F16</f>
        <v>0.92</v>
      </c>
      <c r="H16" s="90">
        <f t="shared" ref="H16:N16" si="0">G16</f>
        <v>0.92</v>
      </c>
      <c r="I16" s="90">
        <f t="shared" si="0"/>
        <v>0.92</v>
      </c>
      <c r="J16" s="90">
        <f t="shared" si="0"/>
        <v>0.92</v>
      </c>
      <c r="K16" s="90">
        <f t="shared" si="0"/>
        <v>0.92</v>
      </c>
      <c r="L16" s="90">
        <f t="shared" si="0"/>
        <v>0.92</v>
      </c>
      <c r="M16" s="90">
        <f t="shared" si="0"/>
        <v>0.92</v>
      </c>
      <c r="N16" s="90">
        <f t="shared" si="0"/>
        <v>0.92</v>
      </c>
    </row>
    <row r="17" spans="1:14" ht="15" customHeight="1" x14ac:dyDescent="0.45">
      <c r="B17" s="9" t="s">
        <v>168</v>
      </c>
      <c r="C17" s="37" t="s">
        <v>60</v>
      </c>
      <c r="D17" s="52">
        <v>-3.27E-2</v>
      </c>
      <c r="E17" s="52">
        <v>-6.0000000000000001E-3</v>
      </c>
      <c r="F17" s="52">
        <v>0.02</v>
      </c>
      <c r="G17" s="52">
        <v>3.4000000000000002E-2</v>
      </c>
      <c r="H17" s="52">
        <v>4.3999999999999997E-2</v>
      </c>
      <c r="I17" s="52">
        <v>5.0999999999999997E-2</v>
      </c>
      <c r="J17" s="52">
        <v>5.5E-2</v>
      </c>
      <c r="K17" s="52">
        <v>5.8000000000000003E-2</v>
      </c>
      <c r="L17" s="52">
        <v>0.06</v>
      </c>
      <c r="M17" s="52">
        <v>6.2E-2</v>
      </c>
      <c r="N17" s="52">
        <v>6.4000000000000001E-2</v>
      </c>
    </row>
    <row r="19" spans="1:14" ht="15" customHeight="1" x14ac:dyDescent="0.45">
      <c r="A19" t="s">
        <v>2</v>
      </c>
      <c r="B19" s="25" t="s">
        <v>169</v>
      </c>
    </row>
    <row r="20" spans="1:14" ht="15" customHeight="1" x14ac:dyDescent="0.45">
      <c r="B20" s="9" t="s">
        <v>170</v>
      </c>
      <c r="C20" s="37" t="s">
        <v>58</v>
      </c>
      <c r="D20" s="42">
        <v>33300</v>
      </c>
      <c r="E20" s="42">
        <v>38300</v>
      </c>
      <c r="F20" s="87"/>
      <c r="G20" s="87"/>
      <c r="H20" s="87"/>
      <c r="I20" s="87"/>
      <c r="J20" s="87"/>
      <c r="K20" s="87"/>
      <c r="L20" s="87"/>
      <c r="M20" s="87"/>
      <c r="N20" s="87"/>
    </row>
    <row r="21" spans="1:14" ht="15" customHeight="1" x14ac:dyDescent="0.45">
      <c r="B21" s="9" t="s">
        <v>171</v>
      </c>
      <c r="C21" s="37" t="s">
        <v>60</v>
      </c>
      <c r="F21" s="52">
        <v>0.17</v>
      </c>
      <c r="G21" s="52">
        <v>0.17</v>
      </c>
      <c r="H21" s="52">
        <v>0.15</v>
      </c>
      <c r="I21" s="52">
        <v>0.13</v>
      </c>
      <c r="J21" s="52">
        <v>0.11</v>
      </c>
      <c r="K21" s="52">
        <v>0.1</v>
      </c>
      <c r="L21" s="52">
        <v>0.09</v>
      </c>
      <c r="M21" s="52">
        <v>0.08</v>
      </c>
      <c r="N21" s="52">
        <v>7.4999999999999997E-2</v>
      </c>
    </row>
    <row r="22" spans="1:14" ht="15" customHeight="1" x14ac:dyDescent="0.45">
      <c r="B22" s="9" t="s">
        <v>167</v>
      </c>
      <c r="C22" s="37" t="s">
        <v>60</v>
      </c>
      <c r="D22" s="44">
        <v>0.24259</v>
      </c>
      <c r="E22" s="44">
        <v>0.26500000000000001</v>
      </c>
      <c r="F22" s="44">
        <v>0.27500000000000002</v>
      </c>
      <c r="G22" s="44">
        <v>0.28000000000000003</v>
      </c>
      <c r="H22" s="44">
        <v>0.28499999999999998</v>
      </c>
      <c r="I22" s="44">
        <v>0.28999999999999998</v>
      </c>
      <c r="J22" s="90">
        <f>I22</f>
        <v>0.28999999999999998</v>
      </c>
      <c r="K22" s="90">
        <f t="shared" ref="K22:N22" si="1">J22</f>
        <v>0.28999999999999998</v>
      </c>
      <c r="L22" s="90">
        <f t="shared" si="1"/>
        <v>0.28999999999999998</v>
      </c>
      <c r="M22" s="90">
        <f t="shared" si="1"/>
        <v>0.28999999999999998</v>
      </c>
      <c r="N22" s="90">
        <f t="shared" si="1"/>
        <v>0.28999999999999998</v>
      </c>
    </row>
    <row r="23" spans="1:14" ht="15" customHeight="1" x14ac:dyDescent="0.45">
      <c r="B23" s="9" t="s">
        <v>168</v>
      </c>
      <c r="C23" s="37" t="s">
        <v>60</v>
      </c>
      <c r="D23" s="52">
        <v>4.8000000000000001E-2</v>
      </c>
      <c r="E23" s="52">
        <v>5.2999999999999999E-2</v>
      </c>
      <c r="F23" s="52">
        <v>5.8999999999999997E-2</v>
      </c>
      <c r="G23" s="52">
        <v>6.4000000000000001E-2</v>
      </c>
      <c r="H23" s="52">
        <v>6.8000000000000005E-2</v>
      </c>
      <c r="I23" s="52">
        <v>7.0999999999999994E-2</v>
      </c>
      <c r="J23" s="52">
        <v>7.2999999999999995E-2</v>
      </c>
      <c r="K23" s="52">
        <v>7.3999999999999996E-2</v>
      </c>
      <c r="L23" s="52">
        <v>7.4999999999999997E-2</v>
      </c>
      <c r="M23" s="52">
        <v>7.5999999999999998E-2</v>
      </c>
      <c r="N23" s="52">
        <v>7.6999999999999999E-2</v>
      </c>
    </row>
    <row r="25" spans="1:14" ht="15" customHeight="1" x14ac:dyDescent="0.45">
      <c r="A25" t="s">
        <v>2</v>
      </c>
      <c r="B25" s="25" t="s">
        <v>172</v>
      </c>
    </row>
    <row r="26" spans="1:14" ht="15" customHeight="1" x14ac:dyDescent="0.45">
      <c r="B26" s="9" t="s">
        <v>173</v>
      </c>
      <c r="C26" s="37" t="s">
        <v>58</v>
      </c>
      <c r="D26" s="42">
        <v>6618</v>
      </c>
      <c r="E26" s="42">
        <v>9900</v>
      </c>
    </row>
    <row r="27" spans="1:14" ht="15" customHeight="1" x14ac:dyDescent="0.45">
      <c r="B27" s="9" t="s">
        <v>174</v>
      </c>
      <c r="C27" s="37" t="s">
        <v>60</v>
      </c>
      <c r="F27" s="44">
        <v>0.4</v>
      </c>
      <c r="G27" s="44">
        <v>0.32</v>
      </c>
      <c r="H27" s="44">
        <v>0.26</v>
      </c>
      <c r="I27" s="44">
        <v>0.22</v>
      </c>
      <c r="J27" s="44">
        <v>0.18</v>
      </c>
      <c r="K27" s="44">
        <v>0.15</v>
      </c>
      <c r="L27" s="44">
        <v>0.12</v>
      </c>
      <c r="M27" s="44">
        <v>0.1</v>
      </c>
      <c r="N27" s="44">
        <v>0.09</v>
      </c>
    </row>
    <row r="28" spans="1:14" ht="15" customHeight="1" x14ac:dyDescent="0.45">
      <c r="B28" s="9" t="s">
        <v>175</v>
      </c>
      <c r="C28" s="37" t="s">
        <v>60</v>
      </c>
      <c r="D28" s="44">
        <v>0.1105</v>
      </c>
      <c r="E28" s="44">
        <v>0.115</v>
      </c>
      <c r="F28" s="44">
        <v>0.12</v>
      </c>
      <c r="G28" s="44">
        <v>0.125</v>
      </c>
      <c r="H28" s="44">
        <v>0.128</v>
      </c>
      <c r="I28" s="44">
        <v>0.13</v>
      </c>
      <c r="J28" s="44">
        <v>0.13</v>
      </c>
      <c r="K28" s="44">
        <v>0.13</v>
      </c>
      <c r="L28" s="44">
        <v>0.13</v>
      </c>
      <c r="M28" s="44">
        <v>0.13</v>
      </c>
      <c r="N28" s="44">
        <v>0.13</v>
      </c>
    </row>
    <row r="29" spans="1:14" ht="15" customHeight="1" x14ac:dyDescent="0.45">
      <c r="B29" s="9" t="s">
        <v>176</v>
      </c>
      <c r="C29" s="37" t="s">
        <v>60</v>
      </c>
      <c r="D29" s="52">
        <v>-5.0000000000000001E-3</v>
      </c>
      <c r="E29" s="52">
        <v>-0.04</v>
      </c>
      <c r="F29" s="52">
        <v>-0.01</v>
      </c>
      <c r="G29" s="52">
        <v>1.4999999999999999E-2</v>
      </c>
      <c r="H29" s="52">
        <v>0.03</v>
      </c>
      <c r="I29" s="52">
        <v>0.05</v>
      </c>
      <c r="J29" s="52">
        <v>5.5E-2</v>
      </c>
      <c r="K29" s="52">
        <v>0.06</v>
      </c>
      <c r="L29" s="52">
        <v>0.06</v>
      </c>
      <c r="M29" s="52">
        <v>0.06</v>
      </c>
      <c r="N29" s="52">
        <v>0.06</v>
      </c>
    </row>
    <row r="30" spans="1:14" s="87" customFormat="1" ht="15" customHeight="1" x14ac:dyDescent="0.45">
      <c r="A30"/>
      <c r="B30" s="9" t="s">
        <v>177</v>
      </c>
      <c r="C30" s="37" t="s">
        <v>58</v>
      </c>
      <c r="D30" s="42">
        <v>6196</v>
      </c>
      <c r="E30" s="42">
        <v>5558</v>
      </c>
    </row>
    <row r="31" spans="1:14" ht="15" customHeight="1" x14ac:dyDescent="0.45">
      <c r="B31" s="9" t="s">
        <v>178</v>
      </c>
      <c r="C31" s="37" t="s">
        <v>60</v>
      </c>
      <c r="F31" s="44">
        <v>0.26</v>
      </c>
      <c r="G31" s="44">
        <v>0.24</v>
      </c>
      <c r="H31" s="44">
        <v>0.2</v>
      </c>
      <c r="I31" s="44">
        <v>0.17</v>
      </c>
      <c r="J31" s="44">
        <v>0.14000000000000001</v>
      </c>
      <c r="K31" s="44">
        <v>0.11</v>
      </c>
      <c r="L31" s="44">
        <v>0.09</v>
      </c>
      <c r="M31" s="44">
        <v>0.08</v>
      </c>
      <c r="N31" s="44">
        <v>7.4999999999999997E-2</v>
      </c>
    </row>
    <row r="32" spans="1:14" ht="15" customHeight="1" x14ac:dyDescent="0.45">
      <c r="B32" s="9" t="s">
        <v>179</v>
      </c>
      <c r="C32" s="37" t="s">
        <v>60</v>
      </c>
      <c r="D32" s="44">
        <v>-8.9999999999999993E-3</v>
      </c>
      <c r="E32" s="44">
        <v>0</v>
      </c>
      <c r="F32" s="44">
        <v>1.4999999999999999E-2</v>
      </c>
      <c r="G32" s="44">
        <v>2.5000000000000001E-2</v>
      </c>
      <c r="H32" s="44">
        <v>3.5000000000000003E-2</v>
      </c>
      <c r="I32" s="44">
        <v>0.04</v>
      </c>
      <c r="J32" s="44">
        <v>4.4999999999999998E-2</v>
      </c>
      <c r="K32" s="44">
        <v>4.4999999999999998E-2</v>
      </c>
      <c r="L32" s="44">
        <v>4.4999999999999998E-2</v>
      </c>
      <c r="M32" s="44">
        <v>4.4999999999999998E-2</v>
      </c>
      <c r="N32" s="44">
        <v>4.4999999999999998E-2</v>
      </c>
    </row>
    <row r="33" spans="1:14" ht="15" customHeight="1" x14ac:dyDescent="0.45">
      <c r="B33" s="9" t="s">
        <v>180</v>
      </c>
      <c r="C33" s="37" t="s">
        <v>58</v>
      </c>
      <c r="D33" s="42">
        <v>30</v>
      </c>
      <c r="E33" s="42">
        <v>40</v>
      </c>
      <c r="F33" s="42">
        <v>350</v>
      </c>
      <c r="G33" s="42">
        <v>700</v>
      </c>
      <c r="H33" s="42">
        <v>1100</v>
      </c>
      <c r="I33" s="42">
        <v>1500</v>
      </c>
      <c r="J33" s="42">
        <v>1900</v>
      </c>
      <c r="K33" s="42">
        <v>2200</v>
      </c>
      <c r="L33" s="42">
        <v>2500</v>
      </c>
      <c r="M33" s="42">
        <v>2800</v>
      </c>
      <c r="N33" s="42">
        <v>3100</v>
      </c>
    </row>
    <row r="34" spans="1:14" ht="15" customHeight="1" x14ac:dyDescent="0.45">
      <c r="B34" s="9" t="s">
        <v>181</v>
      </c>
      <c r="C34" s="37" t="s">
        <v>58</v>
      </c>
      <c r="D34" s="42">
        <v>-12</v>
      </c>
      <c r="E34" s="42">
        <v>-190</v>
      </c>
      <c r="F34" s="42">
        <v>-240</v>
      </c>
      <c r="G34" s="42">
        <v>-200</v>
      </c>
      <c r="H34" s="42">
        <v>-120</v>
      </c>
      <c r="I34" s="42">
        <v>-50</v>
      </c>
      <c r="J34" s="42">
        <v>0</v>
      </c>
      <c r="K34" s="42">
        <v>50</v>
      </c>
      <c r="L34" s="42">
        <v>100</v>
      </c>
      <c r="M34" s="42">
        <v>150</v>
      </c>
      <c r="N34" s="42">
        <v>200</v>
      </c>
    </row>
    <row r="36" spans="1:14" ht="15" customHeight="1" x14ac:dyDescent="0.45">
      <c r="A36" t="s">
        <v>2</v>
      </c>
      <c r="B36" s="25" t="s">
        <v>182</v>
      </c>
    </row>
    <row r="37" spans="1:14" ht="15" customHeight="1" x14ac:dyDescent="0.45">
      <c r="B37" s="9" t="s">
        <v>183</v>
      </c>
      <c r="C37" s="37" t="s">
        <v>58</v>
      </c>
      <c r="D37" s="42">
        <v>698</v>
      </c>
      <c r="E37" s="42">
        <v>810</v>
      </c>
      <c r="F37" s="94">
        <f>E37+50</f>
        <v>860</v>
      </c>
      <c r="G37" s="94">
        <f t="shared" ref="G37:N37" si="2">F37+50</f>
        <v>910</v>
      </c>
      <c r="H37" s="94">
        <f t="shared" si="2"/>
        <v>960</v>
      </c>
      <c r="I37" s="94">
        <f t="shared" si="2"/>
        <v>1010</v>
      </c>
      <c r="J37" s="94">
        <f t="shared" si="2"/>
        <v>1060</v>
      </c>
      <c r="K37" s="94">
        <f t="shared" si="2"/>
        <v>1110</v>
      </c>
      <c r="L37" s="94">
        <f t="shared" si="2"/>
        <v>1160</v>
      </c>
      <c r="M37" s="94">
        <f t="shared" si="2"/>
        <v>1210</v>
      </c>
      <c r="N37" s="94">
        <f t="shared" si="2"/>
        <v>1260</v>
      </c>
    </row>
    <row r="38" spans="1:14" ht="15" customHeight="1" x14ac:dyDescent="0.45">
      <c r="B38" s="9" t="s">
        <v>184</v>
      </c>
      <c r="C38" s="37" t="s">
        <v>58</v>
      </c>
      <c r="D38" s="42">
        <v>0.441</v>
      </c>
      <c r="E38" s="42">
        <v>0.45900000000000002</v>
      </c>
      <c r="F38" s="42">
        <v>0.47699999999999998</v>
      </c>
      <c r="G38" s="42">
        <v>0.496</v>
      </c>
      <c r="H38" s="42">
        <v>0.51600000000000001</v>
      </c>
      <c r="I38" s="42">
        <v>0.53700000000000003</v>
      </c>
      <c r="J38" s="42">
        <v>0.55800000000000005</v>
      </c>
      <c r="K38" s="42">
        <v>0.58099999999999996</v>
      </c>
      <c r="L38" s="42">
        <v>0.60399999999999998</v>
      </c>
      <c r="M38" s="42">
        <v>0.628</v>
      </c>
      <c r="N38" s="42">
        <v>0.65300000000000002</v>
      </c>
    </row>
    <row r="39" spans="1:14" ht="15" customHeight="1" x14ac:dyDescent="0.45">
      <c r="B39" s="9" t="s">
        <v>185</v>
      </c>
      <c r="C39" s="37" t="s">
        <v>58</v>
      </c>
      <c r="D39" s="42">
        <v>167</v>
      </c>
      <c r="E39" s="42">
        <v>188</v>
      </c>
      <c r="F39" s="42">
        <v>195</v>
      </c>
      <c r="G39" s="42">
        <v>211</v>
      </c>
      <c r="H39" s="42">
        <v>228</v>
      </c>
      <c r="I39" s="42">
        <v>246</v>
      </c>
      <c r="J39" s="42">
        <v>266</v>
      </c>
      <c r="K39" s="42">
        <v>287</v>
      </c>
      <c r="L39" s="42">
        <v>310</v>
      </c>
      <c r="M39" s="42">
        <v>335</v>
      </c>
      <c r="N39" s="42">
        <v>362</v>
      </c>
    </row>
    <row r="40" spans="1:14" ht="15" customHeight="1" x14ac:dyDescent="0.45">
      <c r="B40" s="9" t="s">
        <v>186</v>
      </c>
      <c r="C40" s="37" t="s">
        <v>58</v>
      </c>
      <c r="D40" s="53">
        <v>1.05</v>
      </c>
      <c r="E40" s="53">
        <v>1.72</v>
      </c>
      <c r="F40" s="53">
        <v>1.85</v>
      </c>
      <c r="G40" s="53">
        <v>1.85</v>
      </c>
      <c r="H40" s="53">
        <v>1.85</v>
      </c>
      <c r="I40" s="53">
        <v>1.85</v>
      </c>
      <c r="J40" s="53">
        <v>1.85</v>
      </c>
      <c r="K40" s="53">
        <v>1.85</v>
      </c>
      <c r="L40" s="53">
        <v>1.85</v>
      </c>
      <c r="M40" s="53">
        <v>1.85</v>
      </c>
      <c r="N40" s="53">
        <v>1.85</v>
      </c>
    </row>
    <row r="41" spans="1:14" ht="15" customHeight="1" x14ac:dyDescent="0.45">
      <c r="B41" s="9" t="s">
        <v>187</v>
      </c>
      <c r="C41" s="37" t="s">
        <v>58</v>
      </c>
      <c r="D41" s="42">
        <v>680</v>
      </c>
      <c r="E41" s="42">
        <v>734</v>
      </c>
      <c r="F41" s="42">
        <v>793</v>
      </c>
      <c r="G41" s="42">
        <v>856</v>
      </c>
      <c r="H41" s="42">
        <v>925</v>
      </c>
      <c r="I41" s="42">
        <v>999</v>
      </c>
      <c r="J41" s="42">
        <v>1079</v>
      </c>
      <c r="K41" s="42">
        <v>1165</v>
      </c>
      <c r="L41" s="42">
        <v>1258</v>
      </c>
      <c r="M41" s="42">
        <v>1359</v>
      </c>
      <c r="N41" s="42">
        <v>1468</v>
      </c>
    </row>
    <row r="42" spans="1:14" ht="15" customHeight="1" x14ac:dyDescent="0.45">
      <c r="B42" s="9" t="s">
        <v>188</v>
      </c>
      <c r="C42" s="37" t="s">
        <v>60</v>
      </c>
      <c r="D42" s="44">
        <v>0.11</v>
      </c>
      <c r="E42" s="44">
        <v>0.11</v>
      </c>
      <c r="F42" s="44">
        <v>0.11</v>
      </c>
      <c r="G42" s="44">
        <v>0.11</v>
      </c>
      <c r="H42" s="44">
        <v>0.11</v>
      </c>
      <c r="I42" s="44">
        <v>0.11</v>
      </c>
      <c r="J42" s="44">
        <v>0.11</v>
      </c>
      <c r="K42" s="44">
        <v>0.11</v>
      </c>
      <c r="L42" s="44">
        <v>0.11</v>
      </c>
      <c r="M42" s="44">
        <v>0.11</v>
      </c>
      <c r="N42" s="44">
        <v>0.11</v>
      </c>
    </row>
    <row r="43" spans="1:14" ht="15" customHeight="1" x14ac:dyDescent="0.45">
      <c r="B43" s="9" t="s">
        <v>189</v>
      </c>
      <c r="C43" s="37" t="s">
        <v>58</v>
      </c>
      <c r="D43" s="53">
        <v>0.71</v>
      </c>
      <c r="E43" s="53">
        <v>0.75</v>
      </c>
      <c r="F43" s="53">
        <v>0.8</v>
      </c>
      <c r="G43" s="53">
        <v>0.84</v>
      </c>
      <c r="H43" s="53">
        <v>0.89</v>
      </c>
      <c r="I43" s="53">
        <v>0.95</v>
      </c>
      <c r="J43" s="53">
        <v>1</v>
      </c>
      <c r="K43" s="53">
        <v>1.06</v>
      </c>
      <c r="L43" s="53">
        <v>1.1299999999999999</v>
      </c>
      <c r="M43" s="53">
        <v>1.2</v>
      </c>
      <c r="N43" s="53">
        <v>1.27</v>
      </c>
    </row>
    <row r="44" spans="1:14" ht="15" customHeight="1" x14ac:dyDescent="0.45">
      <c r="B44" s="9" t="s">
        <v>190</v>
      </c>
      <c r="C44" s="37" t="s">
        <v>60</v>
      </c>
      <c r="D44" s="44">
        <v>3.5000000000000001E-3</v>
      </c>
      <c r="E44" s="44">
        <v>3.5000000000000001E-3</v>
      </c>
      <c r="F44" s="44">
        <v>3.5000000000000001E-3</v>
      </c>
      <c r="G44" s="44">
        <v>3.5000000000000001E-3</v>
      </c>
      <c r="H44" s="44">
        <v>3.5000000000000001E-3</v>
      </c>
      <c r="I44" s="44">
        <v>3.5000000000000001E-3</v>
      </c>
      <c r="J44" s="44">
        <v>3.5000000000000001E-3</v>
      </c>
      <c r="K44" s="44">
        <v>3.5000000000000001E-3</v>
      </c>
      <c r="L44" s="44">
        <v>3.5000000000000001E-3</v>
      </c>
      <c r="M44" s="44">
        <v>3.5000000000000001E-3</v>
      </c>
      <c r="N44" s="44">
        <v>3.5000000000000001E-3</v>
      </c>
    </row>
    <row r="45" spans="1:14" ht="15" customHeight="1" x14ac:dyDescent="0.45">
      <c r="B45" s="9" t="s">
        <v>191</v>
      </c>
      <c r="C45" s="37" t="s">
        <v>60</v>
      </c>
      <c r="D45" s="44">
        <v>0.02</v>
      </c>
      <c r="E45" s="44">
        <v>0.02</v>
      </c>
      <c r="F45" s="44">
        <v>0.02</v>
      </c>
      <c r="G45" s="44">
        <v>0.02</v>
      </c>
      <c r="H45" s="44">
        <v>0.02</v>
      </c>
      <c r="I45" s="44">
        <v>0.02</v>
      </c>
      <c r="J45" s="44">
        <v>0.02</v>
      </c>
      <c r="K45" s="44">
        <v>0.02</v>
      </c>
      <c r="L45" s="44">
        <v>0.02</v>
      </c>
      <c r="M45" s="44">
        <v>0.02</v>
      </c>
      <c r="N45" s="44">
        <v>0.02</v>
      </c>
    </row>
    <row r="46" spans="1:14" ht="15" customHeight="1" x14ac:dyDescent="0.45">
      <c r="B46" s="9" t="s">
        <v>192</v>
      </c>
      <c r="C46" s="37" t="s">
        <v>60</v>
      </c>
      <c r="D46" s="44">
        <v>0.16</v>
      </c>
      <c r="E46" s="44">
        <v>0.16</v>
      </c>
      <c r="F46" s="44">
        <v>0.16</v>
      </c>
      <c r="G46" s="44">
        <v>0.16</v>
      </c>
      <c r="H46" s="44">
        <v>0.16</v>
      </c>
      <c r="I46" s="44">
        <v>0.16</v>
      </c>
      <c r="J46" s="44">
        <v>0.16</v>
      </c>
      <c r="K46" s="44">
        <v>0.16</v>
      </c>
      <c r="L46" s="44">
        <v>0.16</v>
      </c>
      <c r="M46" s="44">
        <v>0.16</v>
      </c>
      <c r="N46" s="44">
        <v>0.16</v>
      </c>
    </row>
    <row r="47" spans="1:14" ht="15" customHeight="1" x14ac:dyDescent="0.45">
      <c r="B47" s="9" t="s">
        <v>193</v>
      </c>
      <c r="C47" s="37" t="s">
        <v>58</v>
      </c>
      <c r="D47" s="42">
        <v>250</v>
      </c>
      <c r="E47" s="42">
        <v>260</v>
      </c>
      <c r="F47" s="42">
        <v>230</v>
      </c>
      <c r="G47" s="42">
        <v>200</v>
      </c>
      <c r="H47" s="42">
        <v>180</v>
      </c>
      <c r="I47" s="42">
        <v>165</v>
      </c>
      <c r="J47" s="42">
        <v>155</v>
      </c>
      <c r="K47" s="42">
        <v>150</v>
      </c>
      <c r="L47" s="42">
        <v>150</v>
      </c>
      <c r="M47" s="42">
        <v>150</v>
      </c>
      <c r="N47" s="42">
        <v>150</v>
      </c>
    </row>
    <row r="48" spans="1:14" ht="15" customHeight="1" x14ac:dyDescent="0.45">
      <c r="B48" s="9" t="s">
        <v>194</v>
      </c>
      <c r="C48" s="37" t="s">
        <v>60</v>
      </c>
      <c r="D48" s="52">
        <v>0</v>
      </c>
      <c r="E48" s="52">
        <v>0.70399999999999996</v>
      </c>
      <c r="F48" s="52">
        <v>0.78300000000000003</v>
      </c>
      <c r="G48" s="52">
        <v>0.78300000000000003</v>
      </c>
      <c r="H48" s="52">
        <v>0.78300000000000003</v>
      </c>
      <c r="I48" s="52">
        <v>0.78300000000000003</v>
      </c>
      <c r="J48" s="52">
        <v>0.78300000000000003</v>
      </c>
      <c r="K48" s="52">
        <v>0.78300000000000003</v>
      </c>
      <c r="L48" s="52">
        <v>0.78300000000000003</v>
      </c>
      <c r="M48" s="52">
        <v>0.78300000000000003</v>
      </c>
      <c r="N48" s="52">
        <v>0.78300000000000003</v>
      </c>
    </row>
    <row r="49" spans="1:14" ht="15" customHeight="1" x14ac:dyDescent="0.45">
      <c r="B49" s="9" t="s">
        <v>195</v>
      </c>
      <c r="C49" s="37" t="s">
        <v>60</v>
      </c>
      <c r="D49" s="44">
        <v>0.88</v>
      </c>
      <c r="E49" s="44">
        <v>0.88</v>
      </c>
      <c r="F49" s="44">
        <v>0.88</v>
      </c>
      <c r="G49" s="44">
        <v>0.88</v>
      </c>
      <c r="H49" s="44">
        <v>0.88</v>
      </c>
      <c r="I49" s="44">
        <v>0.88</v>
      </c>
      <c r="J49" s="44">
        <v>0.88</v>
      </c>
      <c r="K49" s="44">
        <v>0.88</v>
      </c>
      <c r="L49" s="44">
        <v>0.88</v>
      </c>
      <c r="M49" s="44">
        <v>0.88</v>
      </c>
      <c r="N49" s="44">
        <v>0.88</v>
      </c>
    </row>
    <row r="50" spans="1:14" ht="15" customHeight="1" x14ac:dyDescent="0.45">
      <c r="B50" s="9" t="s">
        <v>196</v>
      </c>
      <c r="C50" s="37" t="s">
        <v>94</v>
      </c>
      <c r="D50" s="53">
        <v>14</v>
      </c>
      <c r="E50" s="53">
        <v>14</v>
      </c>
      <c r="F50" s="53">
        <v>14</v>
      </c>
      <c r="G50" s="53">
        <v>14</v>
      </c>
      <c r="H50" s="53">
        <v>14</v>
      </c>
      <c r="I50" s="53">
        <v>14</v>
      </c>
      <c r="J50" s="53">
        <v>14</v>
      </c>
      <c r="K50" s="53">
        <v>14</v>
      </c>
      <c r="L50" s="53">
        <v>14</v>
      </c>
      <c r="M50" s="53">
        <v>14</v>
      </c>
      <c r="N50" s="53">
        <v>14</v>
      </c>
    </row>
    <row r="51" spans="1:14" ht="15" customHeight="1" x14ac:dyDescent="0.45">
      <c r="B51" s="9" t="s">
        <v>197</v>
      </c>
      <c r="C51" s="37" t="s">
        <v>94</v>
      </c>
      <c r="D51" s="53">
        <v>30</v>
      </c>
      <c r="E51" s="53">
        <v>30</v>
      </c>
      <c r="F51" s="53">
        <v>30</v>
      </c>
      <c r="G51" s="53">
        <v>30</v>
      </c>
      <c r="H51" s="53">
        <v>30</v>
      </c>
      <c r="I51" s="53">
        <v>30</v>
      </c>
      <c r="J51" s="53">
        <v>30</v>
      </c>
      <c r="K51" s="53">
        <v>30</v>
      </c>
      <c r="L51" s="53">
        <v>30</v>
      </c>
      <c r="M51" s="53">
        <v>30</v>
      </c>
      <c r="N51" s="53">
        <v>30</v>
      </c>
    </row>
    <row r="52" spans="1:14" ht="15" customHeight="1" x14ac:dyDescent="0.45">
      <c r="B52" s="9" t="s">
        <v>198</v>
      </c>
      <c r="C52" s="37" t="s">
        <v>94</v>
      </c>
      <c r="D52" s="42">
        <v>8</v>
      </c>
      <c r="E52" s="42">
        <v>8</v>
      </c>
      <c r="F52" s="42">
        <v>8</v>
      </c>
      <c r="G52" s="42">
        <v>8</v>
      </c>
      <c r="H52" s="42">
        <v>8</v>
      </c>
      <c r="I52" s="42">
        <v>8</v>
      </c>
      <c r="J52" s="42">
        <v>8</v>
      </c>
      <c r="K52" s="42">
        <v>8</v>
      </c>
      <c r="L52" s="42">
        <v>8</v>
      </c>
      <c r="M52" s="42">
        <v>8</v>
      </c>
      <c r="N52" s="42">
        <v>8</v>
      </c>
    </row>
    <row r="53" spans="1:14" ht="15" customHeight="1" x14ac:dyDescent="0.45">
      <c r="B53" s="9" t="s">
        <v>199</v>
      </c>
      <c r="C53" s="37" t="s">
        <v>60</v>
      </c>
      <c r="D53" s="44">
        <v>0.04</v>
      </c>
      <c r="E53" s="44">
        <v>0.04</v>
      </c>
      <c r="F53" s="44">
        <v>0.04</v>
      </c>
      <c r="G53" s="44">
        <v>0.04</v>
      </c>
      <c r="H53" s="44">
        <v>0.04</v>
      </c>
      <c r="I53" s="44">
        <v>0.04</v>
      </c>
      <c r="J53" s="44">
        <v>0.04</v>
      </c>
      <c r="K53" s="44">
        <v>0.04</v>
      </c>
      <c r="L53" s="44">
        <v>0.04</v>
      </c>
      <c r="M53" s="44">
        <v>0.04</v>
      </c>
      <c r="N53" s="44">
        <v>0.04</v>
      </c>
    </row>
    <row r="54" spans="1:14" ht="15" customHeight="1" x14ac:dyDescent="0.45">
      <c r="B54" s="9" t="s">
        <v>200</v>
      </c>
      <c r="C54" s="37" t="s">
        <v>60</v>
      </c>
      <c r="D54" s="44">
        <v>7.0000000000000007E-2</v>
      </c>
      <c r="E54" s="44">
        <v>7.0000000000000007E-2</v>
      </c>
      <c r="F54" s="44">
        <v>7.0000000000000007E-2</v>
      </c>
      <c r="G54" s="44">
        <v>7.0000000000000007E-2</v>
      </c>
      <c r="H54" s="44">
        <v>7.0000000000000007E-2</v>
      </c>
      <c r="I54" s="44">
        <v>7.0000000000000007E-2</v>
      </c>
      <c r="J54" s="44">
        <v>7.0000000000000007E-2</v>
      </c>
      <c r="K54" s="44">
        <v>7.0000000000000007E-2</v>
      </c>
      <c r="L54" s="44">
        <v>7.0000000000000007E-2</v>
      </c>
      <c r="M54" s="44">
        <v>7.0000000000000007E-2</v>
      </c>
      <c r="N54" s="44">
        <v>7.0000000000000007E-2</v>
      </c>
    </row>
    <row r="55" spans="1:14" ht="15" customHeight="1" x14ac:dyDescent="0.45">
      <c r="B55" s="9" t="s">
        <v>201</v>
      </c>
      <c r="C55" s="37" t="s">
        <v>60</v>
      </c>
      <c r="D55" s="44">
        <v>7.1999999999999995E-2</v>
      </c>
      <c r="E55" s="44">
        <v>7.4999999999999997E-2</v>
      </c>
      <c r="F55" s="44">
        <v>7.0000000000000007E-2</v>
      </c>
      <c r="G55" s="44">
        <v>7.0000000000000007E-2</v>
      </c>
      <c r="H55" s="44">
        <v>7.0000000000000007E-2</v>
      </c>
      <c r="I55" s="44">
        <v>7.0000000000000007E-2</v>
      </c>
      <c r="J55" s="44">
        <v>7.0000000000000007E-2</v>
      </c>
      <c r="K55" s="44">
        <v>7.0000000000000007E-2</v>
      </c>
      <c r="L55" s="44">
        <v>7.0000000000000007E-2</v>
      </c>
      <c r="M55" s="44">
        <v>7.0000000000000007E-2</v>
      </c>
      <c r="N55" s="44">
        <v>7.0000000000000007E-2</v>
      </c>
    </row>
    <row r="56" spans="1:14" ht="15" customHeight="1" x14ac:dyDescent="0.45">
      <c r="B56" s="9" t="s">
        <v>202</v>
      </c>
      <c r="C56" s="37" t="s">
        <v>60</v>
      </c>
      <c r="D56" s="52">
        <v>0.24399999999999999</v>
      </c>
      <c r="E56" s="52">
        <v>0.5</v>
      </c>
      <c r="F56" s="52">
        <v>0.32</v>
      </c>
      <c r="G56" s="52">
        <v>0.24</v>
      </c>
      <c r="H56" s="52">
        <v>0.2</v>
      </c>
      <c r="I56" s="52">
        <v>0.22</v>
      </c>
      <c r="J56" s="52">
        <v>0.25169999999999998</v>
      </c>
      <c r="K56" s="52">
        <v>0.25169999999999998</v>
      </c>
      <c r="L56" s="52">
        <v>0.25169999999999998</v>
      </c>
      <c r="M56" s="52">
        <v>0.25169999999999998</v>
      </c>
      <c r="N56" s="52">
        <v>0.25169999999999998</v>
      </c>
    </row>
    <row r="58" spans="1:14" ht="15" customHeight="1" x14ac:dyDescent="0.45">
      <c r="A58" t="s">
        <v>2</v>
      </c>
      <c r="B58" s="25" t="s">
        <v>203</v>
      </c>
    </row>
    <row r="59" spans="1:14" ht="15" customHeight="1" x14ac:dyDescent="0.45">
      <c r="B59" s="9" t="s">
        <v>204</v>
      </c>
      <c r="C59" s="37" t="s">
        <v>60</v>
      </c>
      <c r="D59" s="54">
        <f>WACC!$D$28</f>
        <v>0.12660168568962976</v>
      </c>
    </row>
    <row r="60" spans="1:14" ht="15" customHeight="1" x14ac:dyDescent="0.45">
      <c r="B60" s="9" t="s">
        <v>205</v>
      </c>
      <c r="C60" s="37" t="s">
        <v>60</v>
      </c>
      <c r="D60" s="55">
        <v>6.5000000000000002E-2</v>
      </c>
    </row>
    <row r="61" spans="1:14" ht="30" customHeight="1" x14ac:dyDescent="0.45">
      <c r="B61" s="24"/>
    </row>
  </sheetData>
  <pageMargins left="0.75" right="0.75" top="1" bottom="1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2937"/>
    <pageSetUpPr fitToPage="1"/>
  </sheetPr>
  <dimension ref="A1:N47"/>
  <sheetViews>
    <sheetView showGridLines="0" zoomScaleNormal="100" workbookViewId="0">
      <pane xSplit="3" ySplit="4" topLeftCell="D41" activePane="bottomRight" state="frozen"/>
      <selection pane="topRight" activeCell="D1" sqref="D1"/>
      <selection pane="bottomLeft" activeCell="A6" sqref="A6"/>
      <selection pane="bottomRight" activeCell="B2" sqref="B2"/>
    </sheetView>
  </sheetViews>
  <sheetFormatPr defaultColWidth="8.6640625" defaultRowHeight="14.25" x14ac:dyDescent="0.45"/>
  <cols>
    <col min="1" max="1" width="3.19921875" customWidth="1"/>
    <col min="2" max="2" width="56" customWidth="1"/>
    <col min="3" max="3" width="11" customWidth="1"/>
    <col min="4" max="14" width="13" customWidth="1"/>
  </cols>
  <sheetData>
    <row r="1" spans="1:14" ht="15" customHeight="1" x14ac:dyDescent="0.45">
      <c r="B1" s="47"/>
    </row>
    <row r="2" spans="1:14" ht="19.5" customHeight="1" x14ac:dyDescent="0.45">
      <c r="B2" s="1" t="s">
        <v>206</v>
      </c>
    </row>
    <row r="4" spans="1:14" ht="15" customHeight="1" x14ac:dyDescent="0.45">
      <c r="A4" t="s">
        <v>2</v>
      </c>
      <c r="B4" s="3" t="s">
        <v>207</v>
      </c>
      <c r="C4" s="12" t="s">
        <v>49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27</v>
      </c>
      <c r="I4" s="12" t="s">
        <v>148</v>
      </c>
      <c r="J4" s="12" t="s">
        <v>149</v>
      </c>
      <c r="K4" s="12" t="s">
        <v>150</v>
      </c>
      <c r="L4" s="12" t="s">
        <v>151</v>
      </c>
      <c r="M4" s="12" t="s">
        <v>152</v>
      </c>
      <c r="N4" s="12" t="s">
        <v>153</v>
      </c>
    </row>
    <row r="5" spans="1:14" ht="15" customHeight="1" x14ac:dyDescent="0.45">
      <c r="B5" s="25" t="s">
        <v>162</v>
      </c>
    </row>
    <row r="6" spans="1:14" ht="15" customHeight="1" x14ac:dyDescent="0.45">
      <c r="B6" s="9" t="s">
        <v>208</v>
      </c>
      <c r="C6" s="37" t="s">
        <v>164</v>
      </c>
      <c r="D6" s="42">
        <v>526</v>
      </c>
      <c r="E6" s="56">
        <f t="shared" ref="E6:N6" si="0">D8</f>
        <v>1301</v>
      </c>
      <c r="F6" s="56">
        <f t="shared" si="0"/>
        <v>2300</v>
      </c>
      <c r="G6" s="56">
        <f t="shared" si="0"/>
        <v>3300</v>
      </c>
      <c r="H6" s="56">
        <f t="shared" si="0"/>
        <v>4300</v>
      </c>
      <c r="I6" s="56">
        <f t="shared" si="0"/>
        <v>5200</v>
      </c>
      <c r="J6" s="56">
        <f t="shared" si="0"/>
        <v>6000</v>
      </c>
      <c r="K6" s="56">
        <f t="shared" si="0"/>
        <v>6700</v>
      </c>
      <c r="L6" s="56">
        <f t="shared" si="0"/>
        <v>7300</v>
      </c>
      <c r="M6" s="56">
        <f t="shared" si="0"/>
        <v>7800</v>
      </c>
      <c r="N6" s="56">
        <f t="shared" si="0"/>
        <v>8200</v>
      </c>
    </row>
    <row r="7" spans="1:14" ht="15" customHeight="1" x14ac:dyDescent="0.45">
      <c r="B7" s="9" t="s">
        <v>209</v>
      </c>
      <c r="C7" s="37" t="s">
        <v>164</v>
      </c>
      <c r="D7" s="56">
        <f t="shared" ref="D7:N7" si="1">D8-D6</f>
        <v>775</v>
      </c>
      <c r="E7" s="56">
        <f t="shared" si="1"/>
        <v>999</v>
      </c>
      <c r="F7" s="56">
        <f t="shared" si="1"/>
        <v>1000</v>
      </c>
      <c r="G7" s="56">
        <f t="shared" si="1"/>
        <v>1000</v>
      </c>
      <c r="H7" s="56">
        <f t="shared" si="1"/>
        <v>900</v>
      </c>
      <c r="I7" s="56">
        <f t="shared" si="1"/>
        <v>800</v>
      </c>
      <c r="J7" s="56">
        <f t="shared" si="1"/>
        <v>700</v>
      </c>
      <c r="K7" s="56">
        <f t="shared" si="1"/>
        <v>600</v>
      </c>
      <c r="L7" s="56">
        <f t="shared" si="1"/>
        <v>500</v>
      </c>
      <c r="M7" s="56">
        <f t="shared" si="1"/>
        <v>400</v>
      </c>
      <c r="N7" s="56">
        <f t="shared" si="1"/>
        <v>300</v>
      </c>
    </row>
    <row r="8" spans="1:14" ht="15" customHeight="1" x14ac:dyDescent="0.45">
      <c r="B8" s="9" t="s">
        <v>163</v>
      </c>
      <c r="C8" s="37" t="s">
        <v>164</v>
      </c>
      <c r="D8" s="11">
        <f>Assumptions!D14</f>
        <v>1301</v>
      </c>
      <c r="E8" s="11">
        <f>Assumptions!E14</f>
        <v>2300</v>
      </c>
      <c r="F8" s="11">
        <f>Assumptions!F14</f>
        <v>3300</v>
      </c>
      <c r="G8" s="11">
        <f>Assumptions!G14</f>
        <v>4300</v>
      </c>
      <c r="H8" s="11">
        <f>Assumptions!H14</f>
        <v>5200</v>
      </c>
      <c r="I8" s="11">
        <f>Assumptions!I14</f>
        <v>6000</v>
      </c>
      <c r="J8" s="11">
        <f>Assumptions!J14</f>
        <v>6700</v>
      </c>
      <c r="K8" s="11">
        <f>Assumptions!K14</f>
        <v>7300</v>
      </c>
      <c r="L8" s="11">
        <f>Assumptions!L14</f>
        <v>7800</v>
      </c>
      <c r="M8" s="11">
        <f>Assumptions!M14</f>
        <v>8200</v>
      </c>
      <c r="N8" s="11">
        <f>Assumptions!N14</f>
        <v>8500</v>
      </c>
    </row>
    <row r="9" spans="1:14" ht="15" customHeight="1" x14ac:dyDescent="0.45">
      <c r="B9" s="9" t="s">
        <v>210</v>
      </c>
      <c r="C9" s="37" t="s">
        <v>164</v>
      </c>
      <c r="D9" s="56">
        <f t="shared" ref="D9:N9" si="2">(D6+D8)/2</f>
        <v>913.5</v>
      </c>
      <c r="E9" s="56">
        <f t="shared" si="2"/>
        <v>1800.5</v>
      </c>
      <c r="F9" s="56">
        <f t="shared" si="2"/>
        <v>2800</v>
      </c>
      <c r="G9" s="56">
        <f t="shared" si="2"/>
        <v>3800</v>
      </c>
      <c r="H9" s="56">
        <f t="shared" si="2"/>
        <v>4750</v>
      </c>
      <c r="I9" s="56">
        <f t="shared" si="2"/>
        <v>5600</v>
      </c>
      <c r="J9" s="56">
        <f t="shared" si="2"/>
        <v>6350</v>
      </c>
      <c r="K9" s="56">
        <f t="shared" si="2"/>
        <v>7000</v>
      </c>
      <c r="L9" s="56">
        <f t="shared" si="2"/>
        <v>7550</v>
      </c>
      <c r="M9" s="56">
        <f t="shared" si="2"/>
        <v>8000</v>
      </c>
      <c r="N9" s="56">
        <f t="shared" si="2"/>
        <v>8350</v>
      </c>
    </row>
    <row r="10" spans="1:14" ht="15" customHeight="1" x14ac:dyDescent="0.45">
      <c r="B10" s="9" t="s">
        <v>211</v>
      </c>
      <c r="C10" s="37" t="s">
        <v>166</v>
      </c>
      <c r="D10" s="11">
        <f>Assumptions!D15</f>
        <v>6.71</v>
      </c>
      <c r="E10" s="11">
        <f>Assumptions!E15</f>
        <v>7.39</v>
      </c>
      <c r="F10" s="11">
        <f>Assumptions!F15</f>
        <v>7.9</v>
      </c>
      <c r="G10" s="11">
        <f>Assumptions!G15</f>
        <v>8.5</v>
      </c>
      <c r="H10" s="11">
        <f>Assumptions!H15</f>
        <v>9.15</v>
      </c>
      <c r="I10" s="11">
        <f>Assumptions!I15</f>
        <v>9.8000000000000007</v>
      </c>
      <c r="J10" s="11">
        <f>Assumptions!J15</f>
        <v>10.4</v>
      </c>
      <c r="K10" s="11">
        <f>Assumptions!K15</f>
        <v>10.95</v>
      </c>
      <c r="L10" s="11">
        <f>Assumptions!L15</f>
        <v>11.45</v>
      </c>
      <c r="M10" s="11">
        <f>Assumptions!M15</f>
        <v>11.9</v>
      </c>
      <c r="N10" s="11">
        <f>Assumptions!N15</f>
        <v>12.3</v>
      </c>
    </row>
    <row r="11" spans="1:14" ht="15" customHeight="1" x14ac:dyDescent="0.45">
      <c r="B11" s="5" t="s">
        <v>212</v>
      </c>
      <c r="C11" s="37" t="s">
        <v>58</v>
      </c>
      <c r="D11" s="84">
        <f t="shared" ref="D11:N11" si="3">D9*365*D10/100</f>
        <v>22372.985249999998</v>
      </c>
      <c r="E11" s="84">
        <f t="shared" si="3"/>
        <v>48565.786749999999</v>
      </c>
      <c r="F11" s="84">
        <f t="shared" si="3"/>
        <v>80738</v>
      </c>
      <c r="G11" s="84">
        <f t="shared" si="3"/>
        <v>117895</v>
      </c>
      <c r="H11" s="84">
        <f t="shared" si="3"/>
        <v>158638.125</v>
      </c>
      <c r="I11" s="84">
        <f t="shared" si="3"/>
        <v>200312</v>
      </c>
      <c r="J11" s="84">
        <f t="shared" si="3"/>
        <v>241046</v>
      </c>
      <c r="K11" s="84">
        <f t="shared" si="3"/>
        <v>279772.5</v>
      </c>
      <c r="L11" s="84">
        <f t="shared" si="3"/>
        <v>315533.37499999994</v>
      </c>
      <c r="M11" s="84">
        <f t="shared" si="3"/>
        <v>347480</v>
      </c>
      <c r="N11" s="84">
        <f t="shared" si="3"/>
        <v>374873.25</v>
      </c>
    </row>
    <row r="12" spans="1:14" ht="15" customHeight="1" x14ac:dyDescent="0.45">
      <c r="B12" s="9" t="s">
        <v>59</v>
      </c>
      <c r="C12" s="37" t="s">
        <v>60</v>
      </c>
      <c r="E12" s="33">
        <f t="shared" ref="E12:N12" si="4">E11/D11-1</f>
        <v>1.170733418330931</v>
      </c>
      <c r="F12" s="33">
        <f t="shared" si="4"/>
        <v>0.66244604284105413</v>
      </c>
      <c r="G12" s="33">
        <f t="shared" si="4"/>
        <v>0.46021699819168171</v>
      </c>
      <c r="H12" s="33">
        <f t="shared" si="4"/>
        <v>0.34558823529411775</v>
      </c>
      <c r="I12" s="33">
        <f t="shared" si="4"/>
        <v>0.26269772792637336</v>
      </c>
      <c r="J12" s="33">
        <f t="shared" si="4"/>
        <v>0.20335276967930027</v>
      </c>
      <c r="K12" s="33">
        <f t="shared" si="4"/>
        <v>0.16066020593579644</v>
      </c>
      <c r="L12" s="33">
        <f t="shared" si="4"/>
        <v>0.12782126549249817</v>
      </c>
      <c r="M12" s="33">
        <f t="shared" si="4"/>
        <v>0.10124642123832395</v>
      </c>
      <c r="N12" s="33">
        <f t="shared" si="4"/>
        <v>7.8834033613445431E-2</v>
      </c>
    </row>
    <row r="13" spans="1:14" ht="15" customHeight="1" x14ac:dyDescent="0.45">
      <c r="B13" s="9" t="s">
        <v>167</v>
      </c>
      <c r="C13" s="37" t="s">
        <v>60</v>
      </c>
      <c r="D13" s="57">
        <f>Assumptions!D16</f>
        <v>0.23269999999999999</v>
      </c>
      <c r="E13" s="57">
        <f>Assumptions!E16</f>
        <v>0.77800000000000002</v>
      </c>
      <c r="F13" s="57">
        <f>Assumptions!F16</f>
        <v>0.92</v>
      </c>
      <c r="G13" s="57">
        <f>Assumptions!G16</f>
        <v>0.92</v>
      </c>
      <c r="H13" s="57">
        <f>Assumptions!H16</f>
        <v>0.92</v>
      </c>
      <c r="I13" s="57">
        <f>Assumptions!I16</f>
        <v>0.92</v>
      </c>
      <c r="J13" s="57">
        <f>Assumptions!J16</f>
        <v>0.92</v>
      </c>
      <c r="K13" s="57">
        <f>Assumptions!K16</f>
        <v>0.92</v>
      </c>
      <c r="L13" s="57">
        <f>Assumptions!L16</f>
        <v>0.92</v>
      </c>
      <c r="M13" s="57">
        <f>Assumptions!M16</f>
        <v>0.92</v>
      </c>
      <c r="N13" s="57">
        <f>Assumptions!N16</f>
        <v>0.92</v>
      </c>
    </row>
    <row r="14" spans="1:14" ht="15" customHeight="1" x14ac:dyDescent="0.45">
      <c r="B14" s="5" t="s">
        <v>213</v>
      </c>
      <c r="C14" s="37" t="s">
        <v>58</v>
      </c>
      <c r="D14" s="43">
        <f t="shared" ref="D14:N14" si="5">D11*D13</f>
        <v>5206.1936676749992</v>
      </c>
      <c r="E14" s="43">
        <f t="shared" si="5"/>
        <v>37784.182091499999</v>
      </c>
      <c r="F14" s="43">
        <f t="shared" si="5"/>
        <v>74278.960000000006</v>
      </c>
      <c r="G14" s="43">
        <f t="shared" si="5"/>
        <v>108463.40000000001</v>
      </c>
      <c r="H14" s="43">
        <f t="shared" si="5"/>
        <v>145947.07500000001</v>
      </c>
      <c r="I14" s="43">
        <f t="shared" si="5"/>
        <v>184287.04</v>
      </c>
      <c r="J14" s="43">
        <f t="shared" si="5"/>
        <v>221762.32</v>
      </c>
      <c r="K14" s="43">
        <f t="shared" si="5"/>
        <v>257390.7</v>
      </c>
      <c r="L14" s="43">
        <f t="shared" si="5"/>
        <v>290290.70499999996</v>
      </c>
      <c r="M14" s="43">
        <f t="shared" si="5"/>
        <v>319681.60000000003</v>
      </c>
      <c r="N14" s="43">
        <f t="shared" si="5"/>
        <v>344883.39</v>
      </c>
    </row>
    <row r="15" spans="1:14" ht="15" customHeight="1" x14ac:dyDescent="0.45">
      <c r="B15" s="9" t="s">
        <v>168</v>
      </c>
      <c r="C15" s="37" t="s">
        <v>60</v>
      </c>
      <c r="D15" s="57">
        <f>Assumptions!D17</f>
        <v>-3.27E-2</v>
      </c>
      <c r="E15" s="57">
        <f>Assumptions!E17</f>
        <v>-6.0000000000000001E-3</v>
      </c>
      <c r="F15" s="57">
        <f>Assumptions!F17</f>
        <v>0.02</v>
      </c>
      <c r="G15" s="57">
        <f>Assumptions!G17</f>
        <v>3.4000000000000002E-2</v>
      </c>
      <c r="H15" s="57">
        <f>Assumptions!H17</f>
        <v>4.3999999999999997E-2</v>
      </c>
      <c r="I15" s="57">
        <f>Assumptions!I17</f>
        <v>5.0999999999999997E-2</v>
      </c>
      <c r="J15" s="57">
        <f>Assumptions!J17</f>
        <v>5.5E-2</v>
      </c>
      <c r="K15" s="57">
        <f>Assumptions!K17</f>
        <v>5.8000000000000003E-2</v>
      </c>
      <c r="L15" s="57">
        <f>Assumptions!L17</f>
        <v>0.06</v>
      </c>
      <c r="M15" s="57">
        <f>Assumptions!M17</f>
        <v>6.2E-2</v>
      </c>
      <c r="N15" s="57">
        <f>Assumptions!N17</f>
        <v>6.4000000000000001E-2</v>
      </c>
    </row>
    <row r="16" spans="1:14" ht="15" customHeight="1" x14ac:dyDescent="0.45">
      <c r="B16" s="5" t="s">
        <v>214</v>
      </c>
      <c r="C16" s="37" t="s">
        <v>58</v>
      </c>
      <c r="D16" s="43">
        <f t="shared" ref="D16:N16" si="6">D11*D15</f>
        <v>-731.59661767499995</v>
      </c>
      <c r="E16" s="43">
        <f t="shared" si="6"/>
        <v>-291.39472050000001</v>
      </c>
      <c r="F16" s="43">
        <f t="shared" si="6"/>
        <v>1614.76</v>
      </c>
      <c r="G16" s="43">
        <f t="shared" si="6"/>
        <v>4008.4300000000003</v>
      </c>
      <c r="H16" s="43">
        <f t="shared" si="6"/>
        <v>6980.0774999999994</v>
      </c>
      <c r="I16" s="43">
        <f t="shared" si="6"/>
        <v>10215.911999999998</v>
      </c>
      <c r="J16" s="43">
        <f t="shared" si="6"/>
        <v>13257.53</v>
      </c>
      <c r="K16" s="43">
        <f t="shared" si="6"/>
        <v>16226.805</v>
      </c>
      <c r="L16" s="43">
        <f t="shared" si="6"/>
        <v>18932.002499999995</v>
      </c>
      <c r="M16" s="43">
        <f t="shared" si="6"/>
        <v>21543.759999999998</v>
      </c>
      <c r="N16" s="43">
        <f t="shared" si="6"/>
        <v>23991.887999999999</v>
      </c>
    </row>
    <row r="18" spans="1:14" ht="15" customHeight="1" x14ac:dyDescent="0.45">
      <c r="A18" t="s">
        <v>2</v>
      </c>
      <c r="B18" s="25" t="s">
        <v>169</v>
      </c>
    </row>
    <row r="19" spans="1:14" ht="15" customHeight="1" x14ac:dyDescent="0.45">
      <c r="B19" s="5" t="s">
        <v>215</v>
      </c>
      <c r="C19" s="37" t="s">
        <v>58</v>
      </c>
      <c r="D19" s="95">
        <f>Assumptions!D20</f>
        <v>33300</v>
      </c>
      <c r="E19" s="95">
        <f>Assumptions!E20</f>
        <v>38300</v>
      </c>
      <c r="F19" s="43">
        <f>E19*(1+Assumptions!F21)</f>
        <v>44811</v>
      </c>
      <c r="G19" s="43">
        <f>F19*(1+Assumptions!G21)</f>
        <v>52428.869999999995</v>
      </c>
      <c r="H19" s="43">
        <f>G19*(1+Assumptions!H21)</f>
        <v>60293.200499999992</v>
      </c>
      <c r="I19" s="43">
        <f>H19*(1+Assumptions!I21)</f>
        <v>68131.316564999986</v>
      </c>
      <c r="J19" s="43">
        <f>I19*(1+Assumptions!J21)</f>
        <v>75625.761387149993</v>
      </c>
      <c r="K19" s="43">
        <f>J19*(1+Assumptions!K21)</f>
        <v>83188.337525865005</v>
      </c>
      <c r="L19" s="43">
        <f>K19*(1+Assumptions!L21)</f>
        <v>90675.287903192861</v>
      </c>
      <c r="M19" s="43">
        <f>L19*(1+Assumptions!M21)</f>
        <v>97929.310935448302</v>
      </c>
      <c r="N19" s="43">
        <f>M19*(1+Assumptions!N21)</f>
        <v>105274.00925560691</v>
      </c>
    </row>
    <row r="20" spans="1:14" ht="15" customHeight="1" x14ac:dyDescent="0.45">
      <c r="B20" s="9" t="s">
        <v>59</v>
      </c>
      <c r="C20" s="37" t="s">
        <v>60</v>
      </c>
      <c r="E20" s="33">
        <f t="shared" ref="E20:N20" si="7">E19/D19-1</f>
        <v>0.1501501501501501</v>
      </c>
      <c r="F20" s="33">
        <f t="shared" si="7"/>
        <v>0.16999999999999993</v>
      </c>
      <c r="G20" s="33">
        <f t="shared" si="7"/>
        <v>0.16999999999999993</v>
      </c>
      <c r="H20" s="33">
        <f t="shared" si="7"/>
        <v>0.14999999999999991</v>
      </c>
      <c r="I20" s="33">
        <f t="shared" si="7"/>
        <v>0.12999999999999989</v>
      </c>
      <c r="J20" s="33">
        <f t="shared" si="7"/>
        <v>0.1100000000000001</v>
      </c>
      <c r="K20" s="33">
        <f t="shared" si="7"/>
        <v>0.10000000000000009</v>
      </c>
      <c r="L20" s="33">
        <f t="shared" si="7"/>
        <v>9.000000000000008E-2</v>
      </c>
      <c r="M20" s="33">
        <f t="shared" si="7"/>
        <v>8.0000000000000071E-2</v>
      </c>
      <c r="N20" s="33">
        <f t="shared" si="7"/>
        <v>7.4999999999999956E-2</v>
      </c>
    </row>
    <row r="21" spans="1:14" ht="15" customHeight="1" x14ac:dyDescent="0.45">
      <c r="B21" s="9" t="s">
        <v>167</v>
      </c>
      <c r="C21" s="37" t="s">
        <v>60</v>
      </c>
      <c r="D21" s="57">
        <f>Assumptions!D22</f>
        <v>0.24259</v>
      </c>
      <c r="E21" s="57">
        <f>Assumptions!E22</f>
        <v>0.26500000000000001</v>
      </c>
      <c r="F21" s="57">
        <f>Assumptions!F22</f>
        <v>0.27500000000000002</v>
      </c>
      <c r="G21" s="57">
        <f>Assumptions!G22</f>
        <v>0.28000000000000003</v>
      </c>
      <c r="H21" s="57">
        <f>Assumptions!H22</f>
        <v>0.28499999999999998</v>
      </c>
      <c r="I21" s="57">
        <f>Assumptions!I22</f>
        <v>0.28999999999999998</v>
      </c>
      <c r="J21" s="57">
        <f>Assumptions!J22</f>
        <v>0.28999999999999998</v>
      </c>
      <c r="K21" s="57">
        <f>Assumptions!K22</f>
        <v>0.28999999999999998</v>
      </c>
      <c r="L21" s="57">
        <f>Assumptions!L22</f>
        <v>0.28999999999999998</v>
      </c>
      <c r="M21" s="57">
        <f>Assumptions!M22</f>
        <v>0.28999999999999998</v>
      </c>
      <c r="N21" s="57">
        <f>Assumptions!N22</f>
        <v>0.28999999999999998</v>
      </c>
    </row>
    <row r="22" spans="1:14" ht="15" customHeight="1" x14ac:dyDescent="0.45">
      <c r="B22" s="5" t="s">
        <v>216</v>
      </c>
      <c r="C22" s="37" t="s">
        <v>58</v>
      </c>
      <c r="D22" s="43">
        <f t="shared" ref="D22:N22" si="8">D19*D21</f>
        <v>8078.2470000000003</v>
      </c>
      <c r="E22" s="43">
        <f t="shared" si="8"/>
        <v>10149.5</v>
      </c>
      <c r="F22" s="43">
        <f t="shared" si="8"/>
        <v>12323.025000000001</v>
      </c>
      <c r="G22" s="43">
        <f t="shared" si="8"/>
        <v>14680.0836</v>
      </c>
      <c r="H22" s="43">
        <f t="shared" si="8"/>
        <v>17183.562142499995</v>
      </c>
      <c r="I22" s="43">
        <f t="shared" si="8"/>
        <v>19758.081803849997</v>
      </c>
      <c r="J22" s="43">
        <f t="shared" si="8"/>
        <v>21931.470802273496</v>
      </c>
      <c r="K22" s="43">
        <f t="shared" si="8"/>
        <v>24124.61788250085</v>
      </c>
      <c r="L22" s="43">
        <f t="shared" si="8"/>
        <v>26295.833491925929</v>
      </c>
      <c r="M22" s="43">
        <f t="shared" si="8"/>
        <v>28399.500171280004</v>
      </c>
      <c r="N22" s="43">
        <f t="shared" si="8"/>
        <v>30529.462684126003</v>
      </c>
    </row>
    <row r="23" spans="1:14" ht="15" customHeight="1" x14ac:dyDescent="0.45">
      <c r="B23" s="9" t="s">
        <v>168</v>
      </c>
      <c r="C23" s="37" t="s">
        <v>60</v>
      </c>
      <c r="D23" s="57">
        <f>Assumptions!D23</f>
        <v>4.8000000000000001E-2</v>
      </c>
      <c r="E23" s="57">
        <f>Assumptions!E23</f>
        <v>5.2999999999999999E-2</v>
      </c>
      <c r="F23" s="57">
        <f>Assumptions!F23</f>
        <v>5.8999999999999997E-2</v>
      </c>
      <c r="G23" s="57">
        <f>Assumptions!G23</f>
        <v>6.4000000000000001E-2</v>
      </c>
      <c r="H23" s="57">
        <f>Assumptions!H23</f>
        <v>6.8000000000000005E-2</v>
      </c>
      <c r="I23" s="57">
        <f>Assumptions!I23</f>
        <v>7.0999999999999994E-2</v>
      </c>
      <c r="J23" s="57">
        <f>Assumptions!J23</f>
        <v>7.2999999999999995E-2</v>
      </c>
      <c r="K23" s="57">
        <f>Assumptions!K23</f>
        <v>7.3999999999999996E-2</v>
      </c>
      <c r="L23" s="57">
        <f>Assumptions!L23</f>
        <v>7.4999999999999997E-2</v>
      </c>
      <c r="M23" s="57">
        <f>Assumptions!M23</f>
        <v>7.5999999999999998E-2</v>
      </c>
      <c r="N23" s="57">
        <f>Assumptions!N23</f>
        <v>7.6999999999999999E-2</v>
      </c>
    </row>
    <row r="24" spans="1:14" ht="15" customHeight="1" x14ac:dyDescent="0.45">
      <c r="B24" s="5" t="s">
        <v>217</v>
      </c>
      <c r="C24" s="37" t="s">
        <v>58</v>
      </c>
      <c r="D24" s="43">
        <f t="shared" ref="D24:N24" si="9">D19*D23</f>
        <v>1598.4</v>
      </c>
      <c r="E24" s="43">
        <f t="shared" si="9"/>
        <v>2029.8999999999999</v>
      </c>
      <c r="F24" s="43">
        <f t="shared" si="9"/>
        <v>2643.8489999999997</v>
      </c>
      <c r="G24" s="43">
        <f t="shared" si="9"/>
        <v>3355.4476799999998</v>
      </c>
      <c r="H24" s="43">
        <f t="shared" si="9"/>
        <v>4099.9376339999999</v>
      </c>
      <c r="I24" s="43">
        <f t="shared" si="9"/>
        <v>4837.3234761149988</v>
      </c>
      <c r="J24" s="43">
        <f t="shared" si="9"/>
        <v>5520.6805812619496</v>
      </c>
      <c r="K24" s="43">
        <f t="shared" si="9"/>
        <v>6155.9369769140103</v>
      </c>
      <c r="L24" s="43">
        <f t="shared" si="9"/>
        <v>6800.6465927394647</v>
      </c>
      <c r="M24" s="43">
        <f t="shared" si="9"/>
        <v>7442.6276310940711</v>
      </c>
      <c r="N24" s="43">
        <f t="shared" si="9"/>
        <v>8106.0987126817326</v>
      </c>
    </row>
    <row r="26" spans="1:14" ht="15" customHeight="1" x14ac:dyDescent="0.45">
      <c r="A26" t="s">
        <v>2</v>
      </c>
      <c r="B26" s="25" t="s">
        <v>218</v>
      </c>
    </row>
    <row r="27" spans="1:14" ht="15" customHeight="1" x14ac:dyDescent="0.45">
      <c r="B27" s="5" t="s">
        <v>219</v>
      </c>
      <c r="C27" s="37" t="s">
        <v>58</v>
      </c>
      <c r="D27" s="95">
        <f>Assumptions!D26</f>
        <v>6618</v>
      </c>
      <c r="E27" s="95">
        <f>Assumptions!E26</f>
        <v>9900</v>
      </c>
      <c r="F27" s="43">
        <f>E27*(1+Assumptions!F27)</f>
        <v>13860</v>
      </c>
      <c r="G27" s="43">
        <f>F27*(1+Assumptions!G27)</f>
        <v>18295.2</v>
      </c>
      <c r="H27" s="43">
        <f>G27*(1+Assumptions!H27)</f>
        <v>23051.952000000001</v>
      </c>
      <c r="I27" s="43">
        <f>H27*(1+Assumptions!I27)</f>
        <v>28123.381440000001</v>
      </c>
      <c r="J27" s="43">
        <f>I27*(1+Assumptions!J27)</f>
        <v>33185.590099200002</v>
      </c>
      <c r="K27" s="43">
        <f>J27*(1+Assumptions!K27)</f>
        <v>38163.428614080003</v>
      </c>
      <c r="L27" s="43">
        <f>K27*(1+Assumptions!L27)</f>
        <v>42743.040047769609</v>
      </c>
      <c r="M27" s="43">
        <f>L27*(1+Assumptions!M27)</f>
        <v>47017.344052546578</v>
      </c>
      <c r="N27" s="43">
        <f>M27*(1+Assumptions!N27)</f>
        <v>51248.905017275771</v>
      </c>
    </row>
    <row r="28" spans="1:14" ht="15" customHeight="1" x14ac:dyDescent="0.45">
      <c r="B28" s="9" t="s">
        <v>220</v>
      </c>
      <c r="C28" s="37" t="s">
        <v>58</v>
      </c>
      <c r="D28" s="56">
        <f>D27*Assumptions!D28</f>
        <v>731.28899999999999</v>
      </c>
      <c r="E28" s="56">
        <f>E27*Assumptions!E28</f>
        <v>1138.5</v>
      </c>
      <c r="F28" s="56">
        <f>F27*Assumptions!F28</f>
        <v>1663.2</v>
      </c>
      <c r="G28" s="56">
        <f>G27*Assumptions!G28</f>
        <v>2286.9</v>
      </c>
      <c r="H28" s="56">
        <f>H27*Assumptions!H28</f>
        <v>2950.649856</v>
      </c>
      <c r="I28" s="56">
        <f>I27*Assumptions!I28</f>
        <v>3656.0395872000004</v>
      </c>
      <c r="J28" s="56">
        <f>J27*Assumptions!J28</f>
        <v>4314.1267128960008</v>
      </c>
      <c r="K28" s="56">
        <f>K27*Assumptions!K28</f>
        <v>4961.245719830401</v>
      </c>
      <c r="L28" s="56">
        <f>L27*Assumptions!L28</f>
        <v>5556.5952062100496</v>
      </c>
      <c r="M28" s="56">
        <f>M27*Assumptions!M28</f>
        <v>6112.2547268310555</v>
      </c>
      <c r="N28" s="56">
        <f>N27*Assumptions!N28</f>
        <v>6662.3576522458507</v>
      </c>
    </row>
    <row r="29" spans="1:14" ht="15" customHeight="1" x14ac:dyDescent="0.45">
      <c r="B29" s="9" t="s">
        <v>221</v>
      </c>
      <c r="C29" s="37" t="s">
        <v>58</v>
      </c>
      <c r="D29" s="56">
        <f>D27*Assumptions!D29</f>
        <v>-33.090000000000003</v>
      </c>
      <c r="E29" s="56">
        <f>E27*Assumptions!E29</f>
        <v>-396</v>
      </c>
      <c r="F29" s="56">
        <f>F27*Assumptions!F29</f>
        <v>-138.6</v>
      </c>
      <c r="G29" s="56">
        <f>G27*Assumptions!G29</f>
        <v>274.428</v>
      </c>
      <c r="H29" s="56">
        <f>H27*Assumptions!H29</f>
        <v>691.55856000000006</v>
      </c>
      <c r="I29" s="56">
        <f>I27*Assumptions!I29</f>
        <v>1406.1690720000001</v>
      </c>
      <c r="J29" s="56">
        <f>J27*Assumptions!J29</f>
        <v>1825.2074554560002</v>
      </c>
      <c r="K29" s="56">
        <f>K27*Assumptions!K29</f>
        <v>2289.8057168447999</v>
      </c>
      <c r="L29" s="56">
        <f>L27*Assumptions!L29</f>
        <v>2564.5824028661764</v>
      </c>
      <c r="M29" s="56">
        <f>M27*Assumptions!M29</f>
        <v>2821.0406431527945</v>
      </c>
      <c r="N29" s="56">
        <f>N27*Assumptions!N29</f>
        <v>3074.934301036546</v>
      </c>
    </row>
    <row r="30" spans="1:14" ht="15" customHeight="1" x14ac:dyDescent="0.45">
      <c r="B30" s="9" t="s">
        <v>222</v>
      </c>
      <c r="C30" s="37" t="s">
        <v>58</v>
      </c>
      <c r="D30" s="11">
        <f>Assumptions!D30</f>
        <v>6196</v>
      </c>
      <c r="E30" s="11">
        <f>Assumptions!E30</f>
        <v>5558</v>
      </c>
      <c r="F30" s="56">
        <f>E30*(1+Assumptions!F31)</f>
        <v>7003.08</v>
      </c>
      <c r="G30" s="56">
        <f>F30*(1+Assumptions!G31)</f>
        <v>8683.8191999999999</v>
      </c>
      <c r="H30" s="56">
        <f>G30*(1+Assumptions!H31)</f>
        <v>10420.58304</v>
      </c>
      <c r="I30" s="56">
        <f>H30*(1+Assumptions!I31)</f>
        <v>12192.082156799999</v>
      </c>
      <c r="J30" s="56">
        <f>I30*(1+Assumptions!J31)</f>
        <v>13898.973658752</v>
      </c>
      <c r="K30" s="56">
        <f>J30*(1+Assumptions!K31)</f>
        <v>15427.860761214721</v>
      </c>
      <c r="L30" s="56">
        <f>K30*(1+Assumptions!L31)</f>
        <v>16816.368229724048</v>
      </c>
      <c r="M30" s="56">
        <f>L30*(1+Assumptions!M31)</f>
        <v>18161.677688101972</v>
      </c>
      <c r="N30" s="56">
        <f>M30*(1+Assumptions!N31)</f>
        <v>19523.80351470962</v>
      </c>
    </row>
    <row r="31" spans="1:14" ht="15" customHeight="1" x14ac:dyDescent="0.45">
      <c r="B31" s="9" t="s">
        <v>223</v>
      </c>
      <c r="C31" s="37" t="s">
        <v>58</v>
      </c>
      <c r="D31" s="56">
        <f>D30*Assumptions!D32</f>
        <v>-55.763999999999996</v>
      </c>
      <c r="E31" s="56">
        <f>E30*Assumptions!E32</f>
        <v>0</v>
      </c>
      <c r="F31" s="56">
        <f>F30*Assumptions!F32</f>
        <v>105.0462</v>
      </c>
      <c r="G31" s="56">
        <f>G30*Assumptions!G32</f>
        <v>217.09548000000001</v>
      </c>
      <c r="H31" s="56">
        <f>H30*Assumptions!H32</f>
        <v>364.7204064</v>
      </c>
      <c r="I31" s="56">
        <f>I30*Assumptions!I32</f>
        <v>487.68328627199998</v>
      </c>
      <c r="J31" s="56">
        <f>J30*Assumptions!J32</f>
        <v>625.45381464384002</v>
      </c>
      <c r="K31" s="56">
        <f>K30*Assumptions!K32</f>
        <v>694.25373425466239</v>
      </c>
      <c r="L31" s="56">
        <f>L30*Assumptions!L32</f>
        <v>756.73657033758218</v>
      </c>
      <c r="M31" s="56">
        <f>M30*Assumptions!M32</f>
        <v>817.27549596458869</v>
      </c>
      <c r="N31" s="56">
        <f>N30*Assumptions!N32</f>
        <v>878.57115816193289</v>
      </c>
    </row>
    <row r="32" spans="1:14" ht="15" customHeight="1" x14ac:dyDescent="0.45">
      <c r="B32" s="9" t="s">
        <v>224</v>
      </c>
      <c r="C32" s="37" t="s">
        <v>58</v>
      </c>
      <c r="D32" s="11">
        <f>Assumptions!D33</f>
        <v>30</v>
      </c>
      <c r="E32" s="11">
        <f>Assumptions!E33</f>
        <v>40</v>
      </c>
      <c r="F32" s="11">
        <f>Assumptions!F33</f>
        <v>350</v>
      </c>
      <c r="G32" s="11">
        <f>Assumptions!G33</f>
        <v>700</v>
      </c>
      <c r="H32" s="11">
        <f>Assumptions!H33</f>
        <v>1100</v>
      </c>
      <c r="I32" s="11">
        <f>Assumptions!I33</f>
        <v>1500</v>
      </c>
      <c r="J32" s="11">
        <f>Assumptions!J33</f>
        <v>1900</v>
      </c>
      <c r="K32" s="11">
        <f>Assumptions!K33</f>
        <v>2200</v>
      </c>
      <c r="L32" s="11">
        <f>Assumptions!L33</f>
        <v>2500</v>
      </c>
      <c r="M32" s="11">
        <f>Assumptions!M33</f>
        <v>2800</v>
      </c>
      <c r="N32" s="11">
        <f>Assumptions!N33</f>
        <v>3100</v>
      </c>
    </row>
    <row r="33" spans="1:14" ht="15" customHeight="1" x14ac:dyDescent="0.45">
      <c r="B33" s="9" t="s">
        <v>225</v>
      </c>
      <c r="C33" s="37" t="s">
        <v>58</v>
      </c>
      <c r="D33" s="11">
        <f>Assumptions!D34</f>
        <v>-12</v>
      </c>
      <c r="E33" s="11">
        <f>Assumptions!E34</f>
        <v>-190</v>
      </c>
      <c r="F33" s="11">
        <f>Assumptions!F34</f>
        <v>-240</v>
      </c>
      <c r="G33" s="11">
        <f>Assumptions!G34</f>
        <v>-200</v>
      </c>
      <c r="H33" s="11">
        <f>Assumptions!H34</f>
        <v>-120</v>
      </c>
      <c r="I33" s="11">
        <f>Assumptions!I34</f>
        <v>-50</v>
      </c>
      <c r="J33" s="11">
        <f>Assumptions!J34</f>
        <v>0</v>
      </c>
      <c r="K33" s="11">
        <f>Assumptions!K34</f>
        <v>50</v>
      </c>
      <c r="L33" s="11">
        <f>Assumptions!L34</f>
        <v>100</v>
      </c>
      <c r="M33" s="11">
        <f>Assumptions!M34</f>
        <v>150</v>
      </c>
      <c r="N33" s="11">
        <f>Assumptions!N34</f>
        <v>200</v>
      </c>
    </row>
    <row r="35" spans="1:14" ht="15" customHeight="1" x14ac:dyDescent="0.45">
      <c r="A35" t="s">
        <v>2</v>
      </c>
      <c r="B35" s="25" t="s">
        <v>226</v>
      </c>
    </row>
    <row r="36" spans="1:14" ht="15" customHeight="1" x14ac:dyDescent="0.45">
      <c r="B36" s="9" t="s">
        <v>213</v>
      </c>
      <c r="C36" s="37" t="s">
        <v>58</v>
      </c>
      <c r="D36" s="56">
        <f t="shared" ref="D36:N36" si="10">D14</f>
        <v>5206.1936676749992</v>
      </c>
      <c r="E36" s="56">
        <f t="shared" si="10"/>
        <v>37784.182091499999</v>
      </c>
      <c r="F36" s="56">
        <f t="shared" si="10"/>
        <v>74278.960000000006</v>
      </c>
      <c r="G36" s="56">
        <f t="shared" si="10"/>
        <v>108463.40000000001</v>
      </c>
      <c r="H36" s="56">
        <f t="shared" si="10"/>
        <v>145947.07500000001</v>
      </c>
      <c r="I36" s="56">
        <f t="shared" si="10"/>
        <v>184287.04</v>
      </c>
      <c r="J36" s="56">
        <f t="shared" si="10"/>
        <v>221762.32</v>
      </c>
      <c r="K36" s="56">
        <f t="shared" si="10"/>
        <v>257390.7</v>
      </c>
      <c r="L36" s="56">
        <f t="shared" si="10"/>
        <v>290290.70499999996</v>
      </c>
      <c r="M36" s="56">
        <f t="shared" si="10"/>
        <v>319681.60000000003</v>
      </c>
      <c r="N36" s="56">
        <f t="shared" si="10"/>
        <v>344883.39</v>
      </c>
    </row>
    <row r="37" spans="1:14" ht="15" customHeight="1" x14ac:dyDescent="0.45">
      <c r="B37" s="9" t="s">
        <v>216</v>
      </c>
      <c r="C37" s="37" t="s">
        <v>58</v>
      </c>
      <c r="D37" s="56">
        <f t="shared" ref="D37:N37" si="11">D22</f>
        <v>8078.2470000000003</v>
      </c>
      <c r="E37" s="56">
        <f t="shared" si="11"/>
        <v>10149.5</v>
      </c>
      <c r="F37" s="56">
        <f t="shared" si="11"/>
        <v>12323.025000000001</v>
      </c>
      <c r="G37" s="56">
        <f t="shared" si="11"/>
        <v>14680.0836</v>
      </c>
      <c r="H37" s="56">
        <f t="shared" si="11"/>
        <v>17183.562142499995</v>
      </c>
      <c r="I37" s="56">
        <f t="shared" si="11"/>
        <v>19758.081803849997</v>
      </c>
      <c r="J37" s="56">
        <f t="shared" si="11"/>
        <v>21931.470802273496</v>
      </c>
      <c r="K37" s="56">
        <f t="shared" si="11"/>
        <v>24124.61788250085</v>
      </c>
      <c r="L37" s="56">
        <f t="shared" si="11"/>
        <v>26295.833491925929</v>
      </c>
      <c r="M37" s="56">
        <f t="shared" si="11"/>
        <v>28399.500171280004</v>
      </c>
      <c r="N37" s="56">
        <f t="shared" si="11"/>
        <v>30529.462684126003</v>
      </c>
    </row>
    <row r="38" spans="1:14" ht="15" customHeight="1" x14ac:dyDescent="0.45">
      <c r="B38" s="9" t="s">
        <v>222</v>
      </c>
      <c r="C38" s="37" t="s">
        <v>58</v>
      </c>
      <c r="D38" s="56">
        <f t="shared" ref="D38:N38" si="12">D30</f>
        <v>6196</v>
      </c>
      <c r="E38" s="56">
        <f t="shared" si="12"/>
        <v>5558</v>
      </c>
      <c r="F38" s="56">
        <f t="shared" si="12"/>
        <v>7003.08</v>
      </c>
      <c r="G38" s="56">
        <f t="shared" si="12"/>
        <v>8683.8191999999999</v>
      </c>
      <c r="H38" s="56">
        <f t="shared" si="12"/>
        <v>10420.58304</v>
      </c>
      <c r="I38" s="56">
        <f t="shared" si="12"/>
        <v>12192.082156799999</v>
      </c>
      <c r="J38" s="56">
        <f t="shared" si="12"/>
        <v>13898.973658752</v>
      </c>
      <c r="K38" s="56">
        <f t="shared" si="12"/>
        <v>15427.860761214721</v>
      </c>
      <c r="L38" s="56">
        <f t="shared" si="12"/>
        <v>16816.368229724048</v>
      </c>
      <c r="M38" s="56">
        <f t="shared" si="12"/>
        <v>18161.677688101972</v>
      </c>
      <c r="N38" s="56">
        <f t="shared" si="12"/>
        <v>19523.80351470962</v>
      </c>
    </row>
    <row r="39" spans="1:14" ht="15" customHeight="1" x14ac:dyDescent="0.45">
      <c r="B39" s="9" t="s">
        <v>220</v>
      </c>
      <c r="C39" s="37" t="s">
        <v>58</v>
      </c>
      <c r="D39" s="56">
        <f t="shared" ref="D39:N39" si="13">D28</f>
        <v>731.28899999999999</v>
      </c>
      <c r="E39" s="56">
        <f t="shared" si="13"/>
        <v>1138.5</v>
      </c>
      <c r="F39" s="56">
        <f t="shared" si="13"/>
        <v>1663.2</v>
      </c>
      <c r="G39" s="56">
        <f t="shared" si="13"/>
        <v>2286.9</v>
      </c>
      <c r="H39" s="56">
        <f t="shared" si="13"/>
        <v>2950.649856</v>
      </c>
      <c r="I39" s="56">
        <f t="shared" si="13"/>
        <v>3656.0395872000004</v>
      </c>
      <c r="J39" s="56">
        <f t="shared" si="13"/>
        <v>4314.1267128960008</v>
      </c>
      <c r="K39" s="56">
        <f t="shared" si="13"/>
        <v>4961.245719830401</v>
      </c>
      <c r="L39" s="56">
        <f t="shared" si="13"/>
        <v>5556.5952062100496</v>
      </c>
      <c r="M39" s="56">
        <f t="shared" si="13"/>
        <v>6112.2547268310555</v>
      </c>
      <c r="N39" s="56">
        <f t="shared" si="13"/>
        <v>6662.3576522458507</v>
      </c>
    </row>
    <row r="40" spans="1:14" ht="15" customHeight="1" x14ac:dyDescent="0.45">
      <c r="B40" s="9" t="s">
        <v>224</v>
      </c>
      <c r="C40" s="37" t="s">
        <v>58</v>
      </c>
      <c r="D40" s="56">
        <f t="shared" ref="D40:N40" si="14">D32</f>
        <v>30</v>
      </c>
      <c r="E40" s="56">
        <f t="shared" si="14"/>
        <v>40</v>
      </c>
      <c r="F40" s="56">
        <f t="shared" si="14"/>
        <v>350</v>
      </c>
      <c r="G40" s="56">
        <f t="shared" si="14"/>
        <v>700</v>
      </c>
      <c r="H40" s="56">
        <f t="shared" si="14"/>
        <v>1100</v>
      </c>
      <c r="I40" s="56">
        <f t="shared" si="14"/>
        <v>1500</v>
      </c>
      <c r="J40" s="56">
        <f t="shared" si="14"/>
        <v>1900</v>
      </c>
      <c r="K40" s="56">
        <f t="shared" si="14"/>
        <v>2200</v>
      </c>
      <c r="L40" s="56">
        <f t="shared" si="14"/>
        <v>2500</v>
      </c>
      <c r="M40" s="56">
        <f t="shared" si="14"/>
        <v>2800</v>
      </c>
      <c r="N40" s="56">
        <f t="shared" si="14"/>
        <v>3100</v>
      </c>
    </row>
    <row r="41" spans="1:14" ht="15" customHeight="1" x14ac:dyDescent="0.45">
      <c r="B41" s="5" t="s">
        <v>227</v>
      </c>
      <c r="C41" s="37" t="s">
        <v>58</v>
      </c>
      <c r="D41" s="88">
        <f t="shared" ref="D41:N41" si="15">SUM(D36:D40)</f>
        <v>20241.729667675001</v>
      </c>
      <c r="E41" s="88">
        <f t="shared" si="15"/>
        <v>54670.182091499999</v>
      </c>
      <c r="F41" s="88">
        <f t="shared" si="15"/>
        <v>95618.265000000014</v>
      </c>
      <c r="G41" s="88">
        <f t="shared" si="15"/>
        <v>134814.2028</v>
      </c>
      <c r="H41" s="88">
        <f t="shared" si="15"/>
        <v>177601.8700385</v>
      </c>
      <c r="I41" s="88">
        <f t="shared" si="15"/>
        <v>221393.24354785</v>
      </c>
      <c r="J41" s="88">
        <f t="shared" si="15"/>
        <v>263806.89117392147</v>
      </c>
      <c r="K41" s="88">
        <f t="shared" si="15"/>
        <v>304104.42436354602</v>
      </c>
      <c r="L41" s="88">
        <f t="shared" si="15"/>
        <v>341459.50192785996</v>
      </c>
      <c r="M41" s="88">
        <f t="shared" si="15"/>
        <v>375155.03258621303</v>
      </c>
      <c r="N41" s="88">
        <f t="shared" si="15"/>
        <v>404699.01385108149</v>
      </c>
    </row>
    <row r="42" spans="1:14" ht="15" customHeight="1" x14ac:dyDescent="0.45">
      <c r="B42" s="5" t="s">
        <v>228</v>
      </c>
      <c r="C42" s="37" t="s">
        <v>58</v>
      </c>
      <c r="D42" s="43">
        <f t="shared" ref="D42:N42" si="16">D11+D19+D27</f>
        <v>62290.985249999998</v>
      </c>
      <c r="E42" s="43">
        <f t="shared" si="16"/>
        <v>96765.786749999999</v>
      </c>
      <c r="F42" s="43">
        <f t="shared" si="16"/>
        <v>139409</v>
      </c>
      <c r="G42" s="43">
        <f t="shared" si="16"/>
        <v>188619.07</v>
      </c>
      <c r="H42" s="43">
        <f t="shared" si="16"/>
        <v>241983.27749999997</v>
      </c>
      <c r="I42" s="43">
        <f t="shared" si="16"/>
        <v>296566.69800500001</v>
      </c>
      <c r="J42" s="43">
        <f t="shared" si="16"/>
        <v>349857.35148635</v>
      </c>
      <c r="K42" s="43">
        <f t="shared" si="16"/>
        <v>401124.26613994502</v>
      </c>
      <c r="L42" s="43">
        <f t="shared" si="16"/>
        <v>448951.70295096241</v>
      </c>
      <c r="M42" s="43">
        <f t="shared" si="16"/>
        <v>492426.65498799487</v>
      </c>
      <c r="N42" s="43">
        <f t="shared" si="16"/>
        <v>531396.16427288274</v>
      </c>
    </row>
    <row r="43" spans="1:14" ht="15" customHeight="1" x14ac:dyDescent="0.45">
      <c r="B43" s="9" t="s">
        <v>229</v>
      </c>
      <c r="E43" s="33">
        <f t="shared" ref="E43:N43" si="17">E42/D42-1</f>
        <v>0.55344768366783859</v>
      </c>
      <c r="F43" s="33">
        <f t="shared" si="17"/>
        <v>0.44068481931709202</v>
      </c>
      <c r="G43" s="33">
        <f t="shared" si="17"/>
        <v>0.35299062470859122</v>
      </c>
      <c r="H43" s="33">
        <f t="shared" si="17"/>
        <v>0.28292053131213057</v>
      </c>
      <c r="I43" s="33">
        <f t="shared" si="17"/>
        <v>0.22556691135402973</v>
      </c>
      <c r="J43" s="33">
        <f t="shared" si="17"/>
        <v>0.17969196757368744</v>
      </c>
      <c r="K43" s="33">
        <f t="shared" si="17"/>
        <v>0.14653662252855426</v>
      </c>
      <c r="L43" s="33">
        <f t="shared" si="17"/>
        <v>0.11923346665427426</v>
      </c>
      <c r="M43" s="33">
        <f t="shared" si="17"/>
        <v>9.6836590108181575E-2</v>
      </c>
      <c r="N43" s="33">
        <f t="shared" si="17"/>
        <v>7.9137692669861481E-2</v>
      </c>
    </row>
    <row r="44" spans="1:14" ht="15" customHeight="1" x14ac:dyDescent="0.45">
      <c r="B44" s="5" t="s">
        <v>230</v>
      </c>
      <c r="C44" s="37" t="s">
        <v>58</v>
      </c>
      <c r="D44" s="84">
        <f t="shared" ref="D44:N44" si="18">D16+D24+D29+D31+D33</f>
        <v>765.9493823250001</v>
      </c>
      <c r="E44" s="84">
        <f t="shared" si="18"/>
        <v>1152.5052794999999</v>
      </c>
      <c r="F44" s="84">
        <f t="shared" si="18"/>
        <v>3985.0551999999989</v>
      </c>
      <c r="G44" s="84">
        <f t="shared" si="18"/>
        <v>7655.4011599999994</v>
      </c>
      <c r="H44" s="84">
        <f t="shared" si="18"/>
        <v>12016.294100399999</v>
      </c>
      <c r="I44" s="84">
        <f t="shared" si="18"/>
        <v>16897.087834386999</v>
      </c>
      <c r="J44" s="84">
        <f t="shared" si="18"/>
        <v>21228.871851361786</v>
      </c>
      <c r="K44" s="84">
        <f t="shared" si="18"/>
        <v>25416.801428013474</v>
      </c>
      <c r="L44" s="84">
        <f t="shared" si="18"/>
        <v>29153.96806594322</v>
      </c>
      <c r="M44" s="84">
        <f t="shared" si="18"/>
        <v>32774.703770211454</v>
      </c>
      <c r="N44" s="84">
        <f t="shared" si="18"/>
        <v>36251.492171880214</v>
      </c>
    </row>
    <row r="45" spans="1:14" ht="15" customHeight="1" x14ac:dyDescent="0.45">
      <c r="B45" s="9" t="s">
        <v>231</v>
      </c>
      <c r="D45" s="34">
        <v>20243</v>
      </c>
    </row>
    <row r="46" spans="1:14" ht="15" customHeight="1" x14ac:dyDescent="0.45">
      <c r="B46" s="5" t="s">
        <v>232</v>
      </c>
      <c r="D46" s="21">
        <f>D41-D45</f>
        <v>-1.2703323249988898</v>
      </c>
    </row>
    <row r="47" spans="1:14" x14ac:dyDescent="0.45">
      <c r="B47" s="24"/>
    </row>
  </sheetData>
  <pageMargins left="0.75" right="0.75" top="1" bottom="1" header="0.511811023622047" footer="0.511811023622047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2937"/>
    <pageSetUpPr fitToPage="1"/>
  </sheetPr>
  <dimension ref="A1:N95"/>
  <sheetViews>
    <sheetView showGridLines="0" zoomScale="51" zoomScaleNormal="100" workbookViewId="0">
      <pane xSplit="3" ySplit="4" topLeftCell="D5" activePane="bottomRight" state="frozen"/>
      <selection pane="topRight" activeCell="D1" sqref="D1"/>
      <selection pane="bottomLeft" activeCell="A87" sqref="A87"/>
      <selection pane="bottomRight" activeCell="I100" sqref="I100"/>
    </sheetView>
  </sheetViews>
  <sheetFormatPr defaultColWidth="8.6640625" defaultRowHeight="14.25" x14ac:dyDescent="0.45"/>
  <cols>
    <col min="1" max="1" width="3.06640625" style="59" customWidth="1"/>
    <col min="2" max="2" width="56" customWidth="1"/>
    <col min="3" max="3" width="11" customWidth="1"/>
    <col min="4" max="14" width="13" customWidth="1"/>
  </cols>
  <sheetData>
    <row r="1" spans="1:14" ht="15" customHeight="1" x14ac:dyDescent="0.45">
      <c r="B1" s="47"/>
    </row>
    <row r="2" spans="1:14" ht="19.5" customHeight="1" x14ac:dyDescent="0.45">
      <c r="B2" s="1" t="s">
        <v>233</v>
      </c>
    </row>
    <row r="4" spans="1:14" ht="15" customHeight="1" x14ac:dyDescent="0.45">
      <c r="A4" s="59" t="s">
        <v>2</v>
      </c>
      <c r="B4" s="3" t="s">
        <v>234</v>
      </c>
      <c r="C4" s="12" t="s">
        <v>49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27</v>
      </c>
      <c r="I4" s="12" t="s">
        <v>148</v>
      </c>
      <c r="J4" s="12" t="s">
        <v>149</v>
      </c>
      <c r="K4" s="12" t="s">
        <v>150</v>
      </c>
      <c r="L4" s="12" t="s">
        <v>151</v>
      </c>
      <c r="M4" s="12" t="s">
        <v>152</v>
      </c>
      <c r="N4" s="12" t="s">
        <v>153</v>
      </c>
    </row>
    <row r="5" spans="1:14" ht="15" customHeight="1" x14ac:dyDescent="0.45">
      <c r="A5" s="59" t="s">
        <v>2</v>
      </c>
      <c r="B5" s="25" t="s">
        <v>235</v>
      </c>
    </row>
    <row r="6" spans="1:14" ht="15" customHeight="1" x14ac:dyDescent="0.45">
      <c r="B6" s="5" t="s">
        <v>57</v>
      </c>
      <c r="C6" s="37" t="s">
        <v>58</v>
      </c>
      <c r="D6" s="32">
        <f>RevBuild!D41</f>
        <v>20241.729667675001</v>
      </c>
      <c r="E6" s="32">
        <f>RevBuild!E41</f>
        <v>54670.182091499999</v>
      </c>
      <c r="F6" s="32">
        <f>RevBuild!F41</f>
        <v>95618.265000000014</v>
      </c>
      <c r="G6" s="32">
        <f>RevBuild!G41</f>
        <v>134814.2028</v>
      </c>
      <c r="H6" s="32">
        <f>RevBuild!H41</f>
        <v>177601.8700385</v>
      </c>
      <c r="I6" s="32">
        <f>RevBuild!I41</f>
        <v>221393.24354785</v>
      </c>
      <c r="J6" s="32">
        <f>RevBuild!J41</f>
        <v>263806.89117392147</v>
      </c>
      <c r="K6" s="32">
        <f>RevBuild!K41</f>
        <v>304104.42436354602</v>
      </c>
      <c r="L6" s="32">
        <f>RevBuild!L41</f>
        <v>341459.50192785996</v>
      </c>
      <c r="M6" s="32">
        <f>RevBuild!M41</f>
        <v>375155.03258621303</v>
      </c>
      <c r="N6" s="32">
        <f>RevBuild!N41</f>
        <v>404699.01385108149</v>
      </c>
    </row>
    <row r="7" spans="1:14" ht="15" customHeight="1" x14ac:dyDescent="0.45">
      <c r="B7" s="9" t="s">
        <v>236</v>
      </c>
      <c r="C7" s="37" t="s">
        <v>60</v>
      </c>
      <c r="E7" s="33">
        <f t="shared" ref="E7:N7" si="0">E6/D6-1</f>
        <v>1.7008651429035466</v>
      </c>
      <c r="F7" s="33">
        <f t="shared" si="0"/>
        <v>0.74900213136232696</v>
      </c>
      <c r="G7" s="33">
        <f t="shared" si="0"/>
        <v>0.40992103130087099</v>
      </c>
      <c r="H7" s="33">
        <f t="shared" si="0"/>
        <v>0.31738248900953336</v>
      </c>
      <c r="I7" s="33">
        <f t="shared" si="0"/>
        <v>0.24657045277652223</v>
      </c>
      <c r="J7" s="33">
        <f t="shared" si="0"/>
        <v>0.19157607046352587</v>
      </c>
      <c r="K7" s="33">
        <f t="shared" si="0"/>
        <v>0.15275390650450205</v>
      </c>
      <c r="L7" s="33">
        <f t="shared" si="0"/>
        <v>0.12283635018626793</v>
      </c>
      <c r="M7" s="33">
        <f t="shared" si="0"/>
        <v>9.8680899105487274E-2</v>
      </c>
      <c r="N7" s="33">
        <f t="shared" si="0"/>
        <v>7.875139262080677E-2</v>
      </c>
    </row>
    <row r="8" spans="1:14" ht="15" customHeight="1" x14ac:dyDescent="0.45">
      <c r="B8" s="9" t="s">
        <v>237</v>
      </c>
      <c r="C8" s="37" t="s">
        <v>58</v>
      </c>
      <c r="D8" s="41">
        <f>-(RevBuild!D14*Assumptions!D48+RevBuild!D30*Assumptions!D49)</f>
        <v>-5452.4800000000005</v>
      </c>
      <c r="E8" s="41">
        <f>-(RevBuild!E14*Assumptions!E48+RevBuild!E30*Assumptions!E49)</f>
        <v>-31491.104192415998</v>
      </c>
      <c r="F8" s="41">
        <f>-(RevBuild!F14*Assumptions!F48+RevBuild!F30*Assumptions!F49)</f>
        <v>-64323.136080000011</v>
      </c>
      <c r="G8" s="41">
        <f>-(RevBuild!G14*Assumptions!G48+RevBuild!G30*Assumptions!G49)</f>
        <v>-92568.603096000006</v>
      </c>
      <c r="H8" s="41">
        <f>-(RevBuild!H14*Assumptions!H48+RevBuild!H30*Assumptions!H49)</f>
        <v>-123446.67280020002</v>
      </c>
      <c r="I8" s="41">
        <f>-(RevBuild!I14*Assumptions!I48+RevBuild!I30*Assumptions!I49)</f>
        <v>-155025.784617984</v>
      </c>
      <c r="J8" s="41">
        <f>-(RevBuild!J14*Assumptions!J48+RevBuild!J30*Assumptions!J49)</f>
        <v>-185870.99337970177</v>
      </c>
      <c r="K8" s="41">
        <f>-(RevBuild!K14*Assumptions!K48+RevBuild!K30*Assumptions!K49)</f>
        <v>-215113.43556986898</v>
      </c>
      <c r="L8" s="41">
        <f>-(RevBuild!L14*Assumptions!L48+RevBuild!L30*Assumptions!L49)</f>
        <v>-242096.02605715714</v>
      </c>
      <c r="M8" s="41">
        <f>-(RevBuild!M14*Assumptions!M48+RevBuild!M30*Assumptions!M49)</f>
        <v>-266292.96916552976</v>
      </c>
      <c r="N8" s="41">
        <f>-(RevBuild!N14*Assumptions!N48+RevBuild!N30*Assumptions!N49)</f>
        <v>-287224.64146294451</v>
      </c>
    </row>
    <row r="9" spans="1:14" ht="15" customHeight="1" x14ac:dyDescent="0.45">
      <c r="B9" s="5" t="s">
        <v>238</v>
      </c>
      <c r="D9" s="35">
        <f t="shared" ref="D9:N9" si="1">D6+D8</f>
        <v>14789.249667675002</v>
      </c>
      <c r="E9" s="35">
        <f t="shared" si="1"/>
        <v>23179.077899084001</v>
      </c>
      <c r="F9" s="35">
        <f t="shared" si="1"/>
        <v>31295.128920000003</v>
      </c>
      <c r="G9" s="35">
        <f t="shared" si="1"/>
        <v>42245.599703999993</v>
      </c>
      <c r="H9" s="35">
        <f t="shared" si="1"/>
        <v>54155.197238299981</v>
      </c>
      <c r="I9" s="35">
        <f t="shared" si="1"/>
        <v>66367.458929865999</v>
      </c>
      <c r="J9" s="35">
        <f t="shared" si="1"/>
        <v>77935.897794219694</v>
      </c>
      <c r="K9" s="35">
        <f t="shared" si="1"/>
        <v>88990.988793677039</v>
      </c>
      <c r="L9" s="35">
        <f t="shared" si="1"/>
        <v>99363.475870702823</v>
      </c>
      <c r="M9" s="35">
        <f t="shared" si="1"/>
        <v>108862.06342068326</v>
      </c>
      <c r="N9" s="35">
        <f t="shared" si="1"/>
        <v>117474.37238813698</v>
      </c>
    </row>
    <row r="10" spans="1:14" ht="15" customHeight="1" x14ac:dyDescent="0.45">
      <c r="B10" s="9" t="s">
        <v>239</v>
      </c>
      <c r="D10" s="33">
        <f t="shared" ref="D10:N10" si="2">D9/D6</f>
        <v>0.73063171529717008</v>
      </c>
      <c r="E10" s="33">
        <f t="shared" si="2"/>
        <v>0.42398025783579441</v>
      </c>
      <c r="F10" s="33">
        <f t="shared" si="2"/>
        <v>0.32729237369031949</v>
      </c>
      <c r="G10" s="33">
        <f t="shared" si="2"/>
        <v>0.31336164014315554</v>
      </c>
      <c r="H10" s="33">
        <f t="shared" si="2"/>
        <v>0.3049247016743708</v>
      </c>
      <c r="I10" s="33">
        <f t="shared" si="2"/>
        <v>0.29977183524808843</v>
      </c>
      <c r="J10" s="33">
        <f t="shared" si="2"/>
        <v>0.2954278314998165</v>
      </c>
      <c r="K10" s="33">
        <f t="shared" si="2"/>
        <v>0.29263299598460124</v>
      </c>
      <c r="L10" s="33">
        <f t="shared" si="2"/>
        <v>0.29099637090109537</v>
      </c>
      <c r="M10" s="33">
        <f t="shared" si="2"/>
        <v>0.29017886997335179</v>
      </c>
      <c r="N10" s="33">
        <f t="shared" si="2"/>
        <v>0.29027590472796266</v>
      </c>
    </row>
    <row r="12" spans="1:14" ht="15" customHeight="1" x14ac:dyDescent="0.45">
      <c r="A12" s="59" t="s">
        <v>2</v>
      </c>
      <c r="B12" s="25" t="s">
        <v>240</v>
      </c>
    </row>
    <row r="13" spans="1:14" ht="15" customHeight="1" x14ac:dyDescent="0.45">
      <c r="B13" s="9" t="s">
        <v>241</v>
      </c>
      <c r="C13" s="37" t="s">
        <v>58</v>
      </c>
      <c r="D13" s="10">
        <f>RevBuild!D24</f>
        <v>1598.4</v>
      </c>
      <c r="E13" s="10">
        <f>RevBuild!E24</f>
        <v>2029.8999999999999</v>
      </c>
      <c r="F13" s="10">
        <f>RevBuild!F24</f>
        <v>2643.8489999999997</v>
      </c>
      <c r="G13" s="10">
        <f>RevBuild!G24</f>
        <v>3355.4476799999998</v>
      </c>
      <c r="H13" s="10">
        <f>RevBuild!H24</f>
        <v>4099.9376339999999</v>
      </c>
      <c r="I13" s="10">
        <f>RevBuild!I24</f>
        <v>4837.3234761149988</v>
      </c>
      <c r="J13" s="10">
        <f>RevBuild!J24</f>
        <v>5520.6805812619496</v>
      </c>
      <c r="K13" s="10">
        <f>RevBuild!K24</f>
        <v>6155.9369769140103</v>
      </c>
      <c r="L13" s="10">
        <f>RevBuild!L24</f>
        <v>6800.6465927394647</v>
      </c>
      <c r="M13" s="10">
        <f>RevBuild!M24</f>
        <v>7442.6276310940711</v>
      </c>
      <c r="N13" s="10">
        <f>RevBuild!N24</f>
        <v>8106.0987126817326</v>
      </c>
    </row>
    <row r="14" spans="1:14" ht="15" customHeight="1" x14ac:dyDescent="0.45">
      <c r="B14" s="9" t="s">
        <v>115</v>
      </c>
      <c r="C14" s="37" t="s">
        <v>58</v>
      </c>
      <c r="D14" s="10">
        <f>RevBuild!D16</f>
        <v>-731.59661767499995</v>
      </c>
      <c r="E14" s="10">
        <f>RevBuild!E16</f>
        <v>-291.39472050000001</v>
      </c>
      <c r="F14" s="10">
        <f>RevBuild!F16</f>
        <v>1614.76</v>
      </c>
      <c r="G14" s="10">
        <f>RevBuild!G16</f>
        <v>4008.4300000000003</v>
      </c>
      <c r="H14" s="10">
        <f>RevBuild!H16</f>
        <v>6980.0774999999994</v>
      </c>
      <c r="I14" s="10">
        <f>RevBuild!I16</f>
        <v>10215.911999999998</v>
      </c>
      <c r="J14" s="10">
        <f>RevBuild!J16</f>
        <v>13257.53</v>
      </c>
      <c r="K14" s="10">
        <f>RevBuild!K16</f>
        <v>16226.805</v>
      </c>
      <c r="L14" s="10">
        <f>RevBuild!L16</f>
        <v>18932.002499999995</v>
      </c>
      <c r="M14" s="10">
        <f>RevBuild!M16</f>
        <v>21543.759999999998</v>
      </c>
      <c r="N14" s="10">
        <f>RevBuild!N16</f>
        <v>23991.887999999999</v>
      </c>
    </row>
    <row r="15" spans="1:14" ht="15" customHeight="1" x14ac:dyDescent="0.45">
      <c r="B15" s="9" t="s">
        <v>117</v>
      </c>
      <c r="C15" s="37" t="s">
        <v>58</v>
      </c>
      <c r="D15" s="10">
        <f>RevBuild!D29</f>
        <v>-33.090000000000003</v>
      </c>
      <c r="E15" s="10">
        <f>RevBuild!E29</f>
        <v>-396</v>
      </c>
      <c r="F15" s="10">
        <f>RevBuild!F29</f>
        <v>-138.6</v>
      </c>
      <c r="G15" s="10">
        <f>RevBuild!G29</f>
        <v>274.428</v>
      </c>
      <c r="H15" s="10">
        <f>RevBuild!H29</f>
        <v>691.55856000000006</v>
      </c>
      <c r="I15" s="10">
        <f>RevBuild!I29</f>
        <v>1406.1690720000001</v>
      </c>
      <c r="J15" s="10">
        <f>RevBuild!J29</f>
        <v>1825.2074554560002</v>
      </c>
      <c r="K15" s="10">
        <f>RevBuild!K29</f>
        <v>2289.8057168447999</v>
      </c>
      <c r="L15" s="10">
        <f>RevBuild!L29</f>
        <v>2564.5824028661764</v>
      </c>
      <c r="M15" s="10">
        <f>RevBuild!M29</f>
        <v>2821.0406431527945</v>
      </c>
      <c r="N15" s="10">
        <f>RevBuild!N29</f>
        <v>3074.934301036546</v>
      </c>
    </row>
    <row r="16" spans="1:14" ht="15" customHeight="1" x14ac:dyDescent="0.45">
      <c r="B16" s="9" t="s">
        <v>242</v>
      </c>
      <c r="C16" s="37" t="s">
        <v>58</v>
      </c>
      <c r="D16" s="10">
        <f>RevBuild!D31</f>
        <v>-55.763999999999996</v>
      </c>
      <c r="E16" s="10">
        <f>RevBuild!E31</f>
        <v>0</v>
      </c>
      <c r="F16" s="10">
        <f>RevBuild!F31</f>
        <v>105.0462</v>
      </c>
      <c r="G16" s="10">
        <f>RevBuild!G31</f>
        <v>217.09548000000001</v>
      </c>
      <c r="H16" s="10">
        <f>RevBuild!H31</f>
        <v>364.7204064</v>
      </c>
      <c r="I16" s="10">
        <f>RevBuild!I31</f>
        <v>487.68328627199998</v>
      </c>
      <c r="J16" s="10">
        <f>RevBuild!J31</f>
        <v>625.45381464384002</v>
      </c>
      <c r="K16" s="10">
        <f>RevBuild!K31</f>
        <v>694.25373425466239</v>
      </c>
      <c r="L16" s="10">
        <f>RevBuild!L31</f>
        <v>756.73657033758218</v>
      </c>
      <c r="M16" s="10">
        <f>RevBuild!M31</f>
        <v>817.27549596458869</v>
      </c>
      <c r="N16" s="10">
        <f>RevBuild!N31</f>
        <v>878.57115816193289</v>
      </c>
    </row>
    <row r="17" spans="1:14" ht="15" customHeight="1" x14ac:dyDescent="0.45">
      <c r="B17" s="9" t="s">
        <v>243</v>
      </c>
      <c r="C17" s="37" t="s">
        <v>58</v>
      </c>
      <c r="D17" s="10">
        <f>RevBuild!D33</f>
        <v>-12</v>
      </c>
      <c r="E17" s="10">
        <f>RevBuild!E33</f>
        <v>-190</v>
      </c>
      <c r="F17" s="10">
        <f>RevBuild!F33</f>
        <v>-240</v>
      </c>
      <c r="G17" s="10">
        <f>RevBuild!G33</f>
        <v>-200</v>
      </c>
      <c r="H17" s="10">
        <f>RevBuild!H33</f>
        <v>-120</v>
      </c>
      <c r="I17" s="10">
        <f>RevBuild!I33</f>
        <v>-50</v>
      </c>
      <c r="J17" s="10">
        <f>RevBuild!J33</f>
        <v>0</v>
      </c>
      <c r="K17" s="10">
        <f>RevBuild!K33</f>
        <v>50</v>
      </c>
      <c r="L17" s="10">
        <f>RevBuild!L33</f>
        <v>100</v>
      </c>
      <c r="M17" s="10">
        <f>RevBuild!M33</f>
        <v>150</v>
      </c>
      <c r="N17" s="10">
        <f>RevBuild!N33</f>
        <v>200</v>
      </c>
    </row>
    <row r="19" spans="1:14" ht="15" customHeight="1" x14ac:dyDescent="0.45">
      <c r="A19" s="59" t="s">
        <v>2</v>
      </c>
      <c r="B19" s="5" t="s">
        <v>244</v>
      </c>
      <c r="C19" s="37" t="s">
        <v>58</v>
      </c>
      <c r="D19" s="35">
        <f t="shared" ref="D19:N19" si="3">SUM(D13:D17)</f>
        <v>765.9493823250001</v>
      </c>
      <c r="E19" s="35">
        <f t="shared" si="3"/>
        <v>1152.5052794999999</v>
      </c>
      <c r="F19" s="35">
        <f t="shared" si="3"/>
        <v>3985.0551999999989</v>
      </c>
      <c r="G19" s="35">
        <f t="shared" si="3"/>
        <v>7655.4011599999994</v>
      </c>
      <c r="H19" s="35">
        <f t="shared" si="3"/>
        <v>12016.294100399999</v>
      </c>
      <c r="I19" s="35">
        <f t="shared" si="3"/>
        <v>16897.087834386999</v>
      </c>
      <c r="J19" s="35">
        <f t="shared" si="3"/>
        <v>21228.871851361786</v>
      </c>
      <c r="K19" s="35">
        <f t="shared" si="3"/>
        <v>25416.801428013474</v>
      </c>
      <c r="L19" s="35">
        <f t="shared" si="3"/>
        <v>29153.96806594322</v>
      </c>
      <c r="M19" s="35">
        <f t="shared" si="3"/>
        <v>32774.703770211454</v>
      </c>
      <c r="N19" s="35">
        <f t="shared" si="3"/>
        <v>36251.492171880214</v>
      </c>
    </row>
    <row r="20" spans="1:14" ht="15" customHeight="1" x14ac:dyDescent="0.45">
      <c r="B20" s="9" t="s">
        <v>245</v>
      </c>
      <c r="D20" s="10">
        <f>-Assumptions!D37</f>
        <v>-698</v>
      </c>
      <c r="E20" s="10">
        <f>-Assumptions!E37</f>
        <v>-810</v>
      </c>
      <c r="F20" s="10">
        <f>-Assumptions!F37</f>
        <v>-860</v>
      </c>
      <c r="G20" s="10">
        <f>-Assumptions!G37</f>
        <v>-910</v>
      </c>
      <c r="H20" s="10">
        <f>-Assumptions!H37</f>
        <v>-960</v>
      </c>
      <c r="I20" s="10">
        <f>-Assumptions!I37</f>
        <v>-1010</v>
      </c>
      <c r="J20" s="10">
        <f>-Assumptions!J37</f>
        <v>-1060</v>
      </c>
      <c r="K20" s="10">
        <f>-Assumptions!K37</f>
        <v>-1110</v>
      </c>
      <c r="L20" s="10">
        <f>-Assumptions!L37</f>
        <v>-1160</v>
      </c>
      <c r="M20" s="10">
        <f>-Assumptions!M37</f>
        <v>-1210</v>
      </c>
      <c r="N20" s="10">
        <f>-Assumptions!N37</f>
        <v>-1260</v>
      </c>
    </row>
    <row r="21" spans="1:14" ht="15" customHeight="1" x14ac:dyDescent="0.45">
      <c r="B21" s="9" t="s">
        <v>246</v>
      </c>
      <c r="D21" s="41">
        <f t="shared" ref="D21:N21" si="4">D86</f>
        <v>569.85349999999994</v>
      </c>
      <c r="E21" s="41">
        <f t="shared" si="4"/>
        <v>1014.4295000000001</v>
      </c>
      <c r="F21" s="41">
        <f t="shared" si="4"/>
        <v>1530.6</v>
      </c>
      <c r="G21" s="41">
        <f t="shared" si="4"/>
        <v>2095.8000000000002</v>
      </c>
      <c r="H21" s="41">
        <f t="shared" si="4"/>
        <v>2679</v>
      </c>
      <c r="I21" s="41">
        <f t="shared" si="4"/>
        <v>3253.2000000000003</v>
      </c>
      <c r="J21" s="41">
        <f t="shared" si="4"/>
        <v>3809.3</v>
      </c>
      <c r="K21" s="41">
        <f t="shared" si="4"/>
        <v>4354</v>
      </c>
      <c r="L21" s="41">
        <f t="shared" si="4"/>
        <v>4870.2</v>
      </c>
      <c r="M21" s="41">
        <f t="shared" si="4"/>
        <v>5359</v>
      </c>
      <c r="N21" s="41">
        <f t="shared" si="4"/>
        <v>5814.55</v>
      </c>
    </row>
    <row r="22" spans="1:14" ht="15" customHeight="1" x14ac:dyDescent="0.45">
      <c r="A22" s="59" t="s">
        <v>2</v>
      </c>
      <c r="B22" s="5" t="s">
        <v>247</v>
      </c>
      <c r="D22" s="35">
        <f t="shared" ref="D22:N22" si="5">D19+D20+D21</f>
        <v>637.80288232500004</v>
      </c>
      <c r="E22" s="35">
        <f t="shared" si="5"/>
        <v>1356.9347794999999</v>
      </c>
      <c r="F22" s="35">
        <f t="shared" si="5"/>
        <v>4655.6551999999992</v>
      </c>
      <c r="G22" s="35">
        <f t="shared" si="5"/>
        <v>8841.2011600000005</v>
      </c>
      <c r="H22" s="35">
        <f t="shared" si="5"/>
        <v>13735.294100399999</v>
      </c>
      <c r="I22" s="35">
        <f t="shared" si="5"/>
        <v>19140.287834387</v>
      </c>
      <c r="J22" s="35">
        <f t="shared" si="5"/>
        <v>23978.171851361785</v>
      </c>
      <c r="K22" s="35">
        <f t="shared" si="5"/>
        <v>28660.801428013474</v>
      </c>
      <c r="L22" s="35">
        <f t="shared" si="5"/>
        <v>32864.168065943217</v>
      </c>
      <c r="M22" s="35">
        <f t="shared" si="5"/>
        <v>36923.703770211454</v>
      </c>
      <c r="N22" s="35">
        <f t="shared" si="5"/>
        <v>40806.042171880217</v>
      </c>
    </row>
    <row r="23" spans="1:14" ht="15" customHeight="1" x14ac:dyDescent="0.45">
      <c r="B23" s="5" t="s">
        <v>63</v>
      </c>
      <c r="C23" s="37" t="s">
        <v>58</v>
      </c>
      <c r="D23" s="58">
        <f>-(D90+D91+Assumptions!D47)</f>
        <v>-863</v>
      </c>
      <c r="E23" s="58">
        <f t="shared" ref="E23:N23" si="6">-(E90+E91+(D42-E42))</f>
        <v>-1585.22052029</v>
      </c>
      <c r="F23" s="58">
        <f t="shared" si="6"/>
        <v>-1914.9270053335999</v>
      </c>
      <c r="G23" s="58">
        <f t="shared" si="6"/>
        <v>-2368.6686969602242</v>
      </c>
      <c r="H23" s="58">
        <f t="shared" si="6"/>
        <v>-2901.9657369881888</v>
      </c>
      <c r="I23" s="58">
        <f t="shared" si="6"/>
        <v>-3453.1380518082392</v>
      </c>
      <c r="J23" s="58">
        <f t="shared" si="6"/>
        <v>-3970.7532430737542</v>
      </c>
      <c r="K23" s="58">
        <f t="shared" si="6"/>
        <v>-4427.4457770419012</v>
      </c>
      <c r="L23" s="58">
        <f t="shared" si="6"/>
        <v>-4983.8389317814499</v>
      </c>
      <c r="M23" s="58">
        <f t="shared" si="6"/>
        <v>-5522.8146149189306</v>
      </c>
      <c r="N23" s="58">
        <f t="shared" si="6"/>
        <v>-6035.1050768315736</v>
      </c>
    </row>
    <row r="24" spans="1:14" ht="15" customHeight="1" x14ac:dyDescent="0.45">
      <c r="B24" s="9" t="s">
        <v>248</v>
      </c>
      <c r="D24" s="41">
        <f t="shared" ref="D24:N24" si="7">-D90</f>
        <v>-420</v>
      </c>
      <c r="E24" s="41">
        <f t="shared" si="7"/>
        <v>-1040.5045</v>
      </c>
      <c r="F24" s="41">
        <f t="shared" si="7"/>
        <v>-1224.46</v>
      </c>
      <c r="G24" s="41">
        <f t="shared" si="7"/>
        <v>-1518.7550000000001</v>
      </c>
      <c r="H24" s="41">
        <f t="shared" si="7"/>
        <v>-1874.5200000000004</v>
      </c>
      <c r="I24" s="41">
        <f t="shared" si="7"/>
        <v>-2240.880000000001</v>
      </c>
      <c r="J24" s="41">
        <f t="shared" si="7"/>
        <v>-2609.0349999999999</v>
      </c>
      <c r="K24" s="41">
        <f t="shared" si="7"/>
        <v>-2985.4799999999996</v>
      </c>
      <c r="L24" s="41">
        <f t="shared" si="7"/>
        <v>-3353.2100000000028</v>
      </c>
      <c r="M24" s="41">
        <f t="shared" si="7"/>
        <v>-3713.2149999999983</v>
      </c>
      <c r="N24" s="41">
        <f t="shared" si="7"/>
        <v>-4059.4399999999987</v>
      </c>
    </row>
    <row r="25" spans="1:14" ht="15" customHeight="1" x14ac:dyDescent="0.45">
      <c r="B25" s="5" t="s">
        <v>249</v>
      </c>
      <c r="C25" s="37" t="s">
        <v>58</v>
      </c>
      <c r="D25" s="35">
        <f t="shared" ref="D25:N25" si="8">D22+D23</f>
        <v>-225.19711767499996</v>
      </c>
      <c r="E25" s="35">
        <f t="shared" si="8"/>
        <v>-228.28574079000009</v>
      </c>
      <c r="F25" s="35">
        <f t="shared" si="8"/>
        <v>2740.7281946663993</v>
      </c>
      <c r="G25" s="35">
        <f t="shared" si="8"/>
        <v>6472.5324630397763</v>
      </c>
      <c r="H25" s="35">
        <f t="shared" si="8"/>
        <v>10833.328363411809</v>
      </c>
      <c r="I25" s="35">
        <f t="shared" si="8"/>
        <v>15687.149782578761</v>
      </c>
      <c r="J25" s="35">
        <f t="shared" si="8"/>
        <v>20007.41860828803</v>
      </c>
      <c r="K25" s="35">
        <f t="shared" si="8"/>
        <v>24233.355650971571</v>
      </c>
      <c r="L25" s="35">
        <f t="shared" si="8"/>
        <v>27880.329134161766</v>
      </c>
      <c r="M25" s="35">
        <f t="shared" si="8"/>
        <v>31400.889155292523</v>
      </c>
      <c r="N25" s="35">
        <f t="shared" si="8"/>
        <v>34770.937095048641</v>
      </c>
    </row>
    <row r="26" spans="1:14" ht="15" customHeight="1" x14ac:dyDescent="0.45">
      <c r="B26" s="9" t="s">
        <v>250</v>
      </c>
      <c r="D26" s="33">
        <f t="shared" ref="D26:N26" si="9">D25/D6</f>
        <v>-1.1125389053813328E-2</v>
      </c>
      <c r="E26" s="33">
        <f t="shared" si="9"/>
        <v>-4.1756901487528331E-3</v>
      </c>
      <c r="F26" s="33">
        <f t="shared" si="9"/>
        <v>2.8663228669401176E-2</v>
      </c>
      <c r="G26" s="33">
        <f t="shared" si="9"/>
        <v>4.8010760948102242E-2</v>
      </c>
      <c r="H26" s="33">
        <f t="shared" si="9"/>
        <v>6.0997828238314115E-2</v>
      </c>
      <c r="I26" s="33">
        <f t="shared" si="9"/>
        <v>7.0856497385333617E-2</v>
      </c>
      <c r="J26" s="33">
        <f t="shared" si="9"/>
        <v>7.5841152288541339E-2</v>
      </c>
      <c r="K26" s="33">
        <f t="shared" si="9"/>
        <v>7.9687612903656599E-2</v>
      </c>
      <c r="L26" s="33">
        <f t="shared" si="9"/>
        <v>8.1650470924812729E-2</v>
      </c>
      <c r="M26" s="33">
        <f t="shared" si="9"/>
        <v>8.3701100685824856E-2</v>
      </c>
      <c r="N26" s="33">
        <f t="shared" si="9"/>
        <v>8.5918017847810779E-2</v>
      </c>
    </row>
    <row r="27" spans="1:14" ht="15" customHeight="1" x14ac:dyDescent="0.45">
      <c r="B27" s="9" t="s">
        <v>251</v>
      </c>
      <c r="C27" s="37" t="s">
        <v>58</v>
      </c>
      <c r="D27" s="34">
        <v>1077</v>
      </c>
      <c r="E27" s="41">
        <f>E94*Assumptions!E55</f>
        <v>1364.5986707296875</v>
      </c>
      <c r="F27" s="41">
        <f>F94*Assumptions!F55</f>
        <v>1662.8570567412905</v>
      </c>
      <c r="G27" s="41">
        <f>G94*Assumptions!G55</f>
        <v>2079.5830683264135</v>
      </c>
      <c r="H27" s="41">
        <f>H94*Assumptions!H55</f>
        <v>2728.2346101575681</v>
      </c>
      <c r="I27" s="41">
        <f>I94*Assumptions!I55</f>
        <v>3668.6778466782444</v>
      </c>
      <c r="J27" s="41">
        <f>J94*Assumptions!J55</f>
        <v>4871.3637727522955</v>
      </c>
      <c r="K27" s="41">
        <f>K94*Assumptions!K55</f>
        <v>6326.3439371182458</v>
      </c>
      <c r="L27" s="41">
        <f>L94*Assumptions!L55</f>
        <v>8050.329747331235</v>
      </c>
      <c r="M27" s="41">
        <f>M94*Assumptions!M55</f>
        <v>10043.771995061044</v>
      </c>
      <c r="N27" s="41">
        <f>N94*Assumptions!N55</f>
        <v>12314.069141651013</v>
      </c>
    </row>
    <row r="28" spans="1:14" ht="15" customHeight="1" x14ac:dyDescent="0.45">
      <c r="B28" s="9" t="s">
        <v>252</v>
      </c>
      <c r="C28" s="37" t="s">
        <v>58</v>
      </c>
      <c r="D28" s="41">
        <f t="shared" ref="D28:N28" si="10">-D87</f>
        <v>-154</v>
      </c>
      <c r="E28" s="41">
        <f t="shared" si="10"/>
        <v>-370.42500000000001</v>
      </c>
      <c r="F28" s="41">
        <f t="shared" si="10"/>
        <v>-637.34</v>
      </c>
      <c r="G28" s="41">
        <f t="shared" si="10"/>
        <v>-863.995</v>
      </c>
      <c r="H28" s="41">
        <f t="shared" si="10"/>
        <v>-1064.58</v>
      </c>
      <c r="I28" s="41">
        <f t="shared" si="10"/>
        <v>-1245.42</v>
      </c>
      <c r="J28" s="41">
        <f t="shared" si="10"/>
        <v>-1406.5150000000001</v>
      </c>
      <c r="K28" s="41">
        <f t="shared" si="10"/>
        <v>-1547.92</v>
      </c>
      <c r="L28" s="41">
        <f t="shared" si="10"/>
        <v>-1669.69</v>
      </c>
      <c r="M28" s="41">
        <f t="shared" si="10"/>
        <v>-1771.9349999999999</v>
      </c>
      <c r="N28" s="41">
        <f t="shared" si="10"/>
        <v>-1854.71</v>
      </c>
    </row>
    <row r="29" spans="1:14" ht="15" customHeight="1" x14ac:dyDescent="0.45">
      <c r="B29" s="5" t="s">
        <v>253</v>
      </c>
      <c r="D29" s="35">
        <f t="shared" ref="D29:N29" si="11">D25+D27+D28</f>
        <v>697.80288232500004</v>
      </c>
      <c r="E29" s="35">
        <f t="shared" si="11"/>
        <v>765.88792993968741</v>
      </c>
      <c r="F29" s="35">
        <f t="shared" si="11"/>
        <v>3766.2452514076895</v>
      </c>
      <c r="G29" s="35">
        <f t="shared" si="11"/>
        <v>7688.1205313661894</v>
      </c>
      <c r="H29" s="35">
        <f t="shared" si="11"/>
        <v>12496.982973569377</v>
      </c>
      <c r="I29" s="35">
        <f t="shared" si="11"/>
        <v>18110.407629257003</v>
      </c>
      <c r="J29" s="35">
        <f t="shared" si="11"/>
        <v>23472.267381040325</v>
      </c>
      <c r="K29" s="35">
        <f t="shared" si="11"/>
        <v>29011.779588089819</v>
      </c>
      <c r="L29" s="35">
        <f t="shared" si="11"/>
        <v>34260.968881492998</v>
      </c>
      <c r="M29" s="35">
        <f t="shared" si="11"/>
        <v>39672.72615035357</v>
      </c>
      <c r="N29" s="35">
        <f t="shared" si="11"/>
        <v>45230.296236699658</v>
      </c>
    </row>
    <row r="30" spans="1:14" ht="15" customHeight="1" x14ac:dyDescent="0.45">
      <c r="B30" s="5" t="s">
        <v>66</v>
      </c>
      <c r="D30" s="58">
        <f>D29*(1-Assumptions!D56)</f>
        <v>527.53897903770007</v>
      </c>
      <c r="E30" s="58">
        <f>E29*(1-Assumptions!E56)</f>
        <v>382.94396496984371</v>
      </c>
      <c r="F30" s="58">
        <f>F29*(1-Assumptions!F56)</f>
        <v>2561.0467709572285</v>
      </c>
      <c r="G30" s="58">
        <f>G29*(1-Assumptions!G56)</f>
        <v>5842.971603838304</v>
      </c>
      <c r="H30" s="58">
        <f>H29*(1-Assumptions!H56)</f>
        <v>9997.5863788555016</v>
      </c>
      <c r="I30" s="58">
        <f>I29*(1-Assumptions!I56)</f>
        <v>14126.117950820462</v>
      </c>
      <c r="J30" s="58">
        <f>J29*(1-Assumptions!J56)</f>
        <v>17564.297681232474</v>
      </c>
      <c r="K30" s="58">
        <f>K29*(1-Assumptions!K56)</f>
        <v>21709.514665767612</v>
      </c>
      <c r="L30" s="58">
        <f>L29*(1-Assumptions!L56)</f>
        <v>25637.483014021211</v>
      </c>
      <c r="M30" s="58">
        <f>M29*(1-Assumptions!M56)</f>
        <v>29687.100978309576</v>
      </c>
      <c r="N30" s="58">
        <f>N29*(1-Assumptions!N56)</f>
        <v>33845.830673922355</v>
      </c>
    </row>
    <row r="31" spans="1:14" ht="15" customHeight="1" x14ac:dyDescent="0.45">
      <c r="B31" s="9" t="s">
        <v>254</v>
      </c>
      <c r="C31" s="37" t="s">
        <v>157</v>
      </c>
      <c r="D31" s="42">
        <v>878.3</v>
      </c>
      <c r="E31" s="11">
        <f>Assumptions!$D$7</f>
        <v>965.04</v>
      </c>
      <c r="F31" s="11">
        <f>Assumptions!$D$7</f>
        <v>965.04</v>
      </c>
      <c r="G31" s="11">
        <f>Assumptions!$D$7</f>
        <v>965.04</v>
      </c>
      <c r="H31" s="11">
        <f>Assumptions!$D$7</f>
        <v>965.04</v>
      </c>
      <c r="I31" s="11">
        <f>Assumptions!$D$7</f>
        <v>965.04</v>
      </c>
      <c r="J31" s="11">
        <f>Assumptions!$D$7</f>
        <v>965.04</v>
      </c>
      <c r="K31" s="11">
        <f>Assumptions!$D$7</f>
        <v>965.04</v>
      </c>
      <c r="L31" s="11">
        <f>Assumptions!$D$7</f>
        <v>965.04</v>
      </c>
      <c r="M31" s="11">
        <f>Assumptions!$D$7</f>
        <v>965.04</v>
      </c>
      <c r="N31" s="11">
        <f>Assumptions!$D$7</f>
        <v>965.04</v>
      </c>
    </row>
    <row r="32" spans="1:14" ht="15" customHeight="1" x14ac:dyDescent="0.45">
      <c r="B32" s="5" t="s">
        <v>67</v>
      </c>
      <c r="C32" s="37" t="s">
        <v>68</v>
      </c>
      <c r="D32" s="60">
        <f t="shared" ref="D32:N32" si="12">D30/D31</f>
        <v>0.60063643292462721</v>
      </c>
      <c r="E32" s="60">
        <f t="shared" si="12"/>
        <v>0.39681667596145626</v>
      </c>
      <c r="F32" s="60">
        <f t="shared" si="12"/>
        <v>2.6538244745888551</v>
      </c>
      <c r="G32" s="60">
        <f t="shared" si="12"/>
        <v>6.0546418841066734</v>
      </c>
      <c r="H32" s="60">
        <f t="shared" si="12"/>
        <v>10.359763718452605</v>
      </c>
      <c r="I32" s="60">
        <f t="shared" si="12"/>
        <v>14.637857447173653</v>
      </c>
      <c r="J32" s="60">
        <f t="shared" si="12"/>
        <v>18.200590318776914</v>
      </c>
      <c r="K32" s="60">
        <f t="shared" si="12"/>
        <v>22.495973913793847</v>
      </c>
      <c r="L32" s="60">
        <f t="shared" si="12"/>
        <v>26.566238719660543</v>
      </c>
      <c r="M32" s="60">
        <f t="shared" si="12"/>
        <v>30.762560078659515</v>
      </c>
      <c r="N32" s="60">
        <f t="shared" si="12"/>
        <v>35.071945902680049</v>
      </c>
    </row>
    <row r="33" spans="1:14" ht="15" customHeight="1" x14ac:dyDescent="0.45">
      <c r="B33" s="9" t="s">
        <v>255</v>
      </c>
      <c r="D33" s="41">
        <f t="shared" ref="D33:N33" si="13">D29-D30</f>
        <v>170.26390328729997</v>
      </c>
      <c r="E33" s="41">
        <f t="shared" si="13"/>
        <v>382.94396496984371</v>
      </c>
      <c r="F33" s="41">
        <f t="shared" si="13"/>
        <v>1205.1984804504609</v>
      </c>
      <c r="G33" s="41">
        <f t="shared" si="13"/>
        <v>1845.1489275278855</v>
      </c>
      <c r="H33" s="41">
        <f t="shared" si="13"/>
        <v>2499.3965947138749</v>
      </c>
      <c r="I33" s="41">
        <f t="shared" si="13"/>
        <v>3984.2896784365403</v>
      </c>
      <c r="J33" s="41">
        <f t="shared" si="13"/>
        <v>5907.9696998078507</v>
      </c>
      <c r="K33" s="41">
        <f t="shared" si="13"/>
        <v>7302.264922322207</v>
      </c>
      <c r="L33" s="41">
        <f t="shared" si="13"/>
        <v>8623.4858674717871</v>
      </c>
      <c r="M33" s="41">
        <f t="shared" si="13"/>
        <v>9985.6251720439941</v>
      </c>
      <c r="N33" s="41">
        <f t="shared" si="13"/>
        <v>11384.465562777303</v>
      </c>
    </row>
    <row r="34" spans="1:14" ht="15" customHeight="1" x14ac:dyDescent="0.45">
      <c r="A34" s="59" t="s">
        <v>2</v>
      </c>
      <c r="B34" s="25" t="s">
        <v>256</v>
      </c>
    </row>
    <row r="35" spans="1:14" ht="15" customHeight="1" x14ac:dyDescent="0.45">
      <c r="B35" s="9" t="s">
        <v>257</v>
      </c>
      <c r="C35" s="37" t="s">
        <v>58</v>
      </c>
      <c r="D35" s="34">
        <v>18857</v>
      </c>
      <c r="E35" s="41">
        <f t="shared" ref="E35:N35" si="14">E83</f>
        <v>23601.496592589861</v>
      </c>
      <c r="F35" s="41">
        <f t="shared" si="14"/>
        <v>28305.003884720194</v>
      </c>
      <c r="G35" s="41">
        <f t="shared" si="14"/>
        <v>35970.137174083109</v>
      </c>
      <c r="H35" s="41">
        <f t="shared" si="14"/>
        <v>47925.317304042481</v>
      </c>
      <c r="I35" s="41">
        <f t="shared" si="14"/>
        <v>64041.797347870699</v>
      </c>
      <c r="J35" s="41">
        <f t="shared" si="14"/>
        <v>83544.42482317629</v>
      </c>
      <c r="K35" s="41">
        <f t="shared" si="14"/>
        <v>107043.37989981644</v>
      </c>
      <c r="L35" s="41">
        <f t="shared" si="14"/>
        <v>134416.15848253816</v>
      </c>
      <c r="M35" s="41">
        <f t="shared" si="14"/>
        <v>165776.38208205914</v>
      </c>
      <c r="N35" s="41">
        <f t="shared" si="14"/>
        <v>201224.44186158595</v>
      </c>
    </row>
    <row r="36" spans="1:14" ht="15" customHeight="1" x14ac:dyDescent="0.45">
      <c r="B36" s="9" t="s">
        <v>258</v>
      </c>
      <c r="D36" s="34">
        <v>665</v>
      </c>
      <c r="E36" s="41">
        <f>-E8*Assumptions!E50/365</f>
        <v>1207.8779690241752</v>
      </c>
      <c r="F36" s="41">
        <f>-F8*Assumptions!F50/365</f>
        <v>2467.1887811506854</v>
      </c>
      <c r="G36" s="41">
        <f>-G8*Assumptions!G50/365</f>
        <v>3550.5765571068496</v>
      </c>
      <c r="H36" s="41">
        <f>-H8*Assumptions!H50/365</f>
        <v>4734.9408745282199</v>
      </c>
      <c r="I36" s="41">
        <f>-I8*Assumptions!I50/365</f>
        <v>5946.1944784980169</v>
      </c>
      <c r="J36" s="41">
        <f>-J8*Assumptions!J50/365</f>
        <v>7129.2983762077383</v>
      </c>
      <c r="K36" s="41">
        <f>-K8*Assumptions!K50/365</f>
        <v>8250.9262958305917</v>
      </c>
      <c r="L36" s="41">
        <f>-L8*Assumptions!L50/365</f>
        <v>9285.8749720553424</v>
      </c>
      <c r="M36" s="41">
        <f>-M8*Assumptions!M50/365</f>
        <v>10213.976899499772</v>
      </c>
      <c r="N36" s="41">
        <f>-N8*Assumptions!N50/365</f>
        <v>11016.835562962255</v>
      </c>
    </row>
    <row r="37" spans="1:14" ht="15" customHeight="1" x14ac:dyDescent="0.45">
      <c r="B37" s="9" t="s">
        <v>259</v>
      </c>
      <c r="D37" s="34">
        <v>1941</v>
      </c>
      <c r="E37" s="41">
        <f>E6*Assumptions!E52/365</f>
        <v>1198.2505663890411</v>
      </c>
      <c r="F37" s="41">
        <f>F6*Assumptions!F52/365</f>
        <v>2095.7427945205482</v>
      </c>
      <c r="G37" s="41">
        <f>G6*Assumptions!G52/365</f>
        <v>2954.8318421917807</v>
      </c>
      <c r="H37" s="41">
        <f>H6*Assumptions!H52/365</f>
        <v>3892.643726871233</v>
      </c>
      <c r="I37" s="41">
        <f>I6*Assumptions!I52/365</f>
        <v>4852.4546531035612</v>
      </c>
      <c r="J37" s="41">
        <f>J6*Assumptions!J52/365</f>
        <v>5782.0688476475934</v>
      </c>
      <c r="K37" s="41">
        <f>K6*Assumptions!K52/365</f>
        <v>6665.3024518037482</v>
      </c>
      <c r="L37" s="41">
        <f>L6*Assumptions!L52/365</f>
        <v>7484.0438778709031</v>
      </c>
      <c r="M37" s="41">
        <f>M6*Assumptions!M52/365</f>
        <v>8222.5760566841218</v>
      </c>
      <c r="N37" s="41">
        <f>N6*Assumptions!N52/365</f>
        <v>8870.1153720784987</v>
      </c>
    </row>
    <row r="38" spans="1:14" ht="15" customHeight="1" x14ac:dyDescent="0.45">
      <c r="B38" s="9" t="s">
        <v>260</v>
      </c>
      <c r="D38" s="34">
        <v>2300</v>
      </c>
      <c r="E38" s="41">
        <f>E6*Assumptions!E53</f>
        <v>2186.8072836599999</v>
      </c>
      <c r="F38" s="41">
        <f>F6*Assumptions!F53</f>
        <v>3824.7306000000008</v>
      </c>
      <c r="G38" s="41">
        <f>G6*Assumptions!G53</f>
        <v>5392.5681119999999</v>
      </c>
      <c r="H38" s="41">
        <f>H6*Assumptions!H53</f>
        <v>7104.0748015400004</v>
      </c>
      <c r="I38" s="41">
        <f>I6*Assumptions!I53</f>
        <v>8855.7297419139995</v>
      </c>
      <c r="J38" s="41">
        <f>J6*Assumptions!J53</f>
        <v>10552.275646956859</v>
      </c>
      <c r="K38" s="41">
        <f>K6*Assumptions!K53</f>
        <v>12164.176974541841</v>
      </c>
      <c r="L38" s="41">
        <f>L6*Assumptions!L53</f>
        <v>13658.3800771144</v>
      </c>
      <c r="M38" s="41">
        <f>M6*Assumptions!M53</f>
        <v>15006.201303448521</v>
      </c>
      <c r="N38" s="41">
        <f>N6*Assumptions!N53</f>
        <v>16187.96055404326</v>
      </c>
    </row>
    <row r="39" spans="1:14" ht="15" customHeight="1" x14ac:dyDescent="0.45">
      <c r="B39" s="9" t="s">
        <v>261</v>
      </c>
      <c r="D39" s="34">
        <v>1151</v>
      </c>
      <c r="E39" s="41">
        <f t="shared" ref="E39:N39" si="15">D39+E77*-1-E91</f>
        <v>2123.2342333350002</v>
      </c>
      <c r="F39" s="41">
        <f t="shared" si="15"/>
        <v>3172.1363280014007</v>
      </c>
      <c r="G39" s="41">
        <f t="shared" si="15"/>
        <v>4301.8711870411762</v>
      </c>
      <c r="H39" s="41">
        <f t="shared" si="15"/>
        <v>5443.7547883229881</v>
      </c>
      <c r="I39" s="41">
        <f t="shared" si="15"/>
        <v>6599.7128074717493</v>
      </c>
      <c r="J39" s="41">
        <f t="shared" si="15"/>
        <v>7737.5469878764252</v>
      </c>
      <c r="K39" s="41">
        <f t="shared" si="15"/>
        <v>8845.0594481054432</v>
      </c>
      <c r="L39" s="41">
        <f t="shared" si="15"/>
        <v>9907.1732673811966</v>
      </c>
      <c r="M39" s="41">
        <f t="shared" si="15"/>
        <v>10903.222304186525</v>
      </c>
      <c r="N39" s="41">
        <f t="shared" si="15"/>
        <v>11816.926079376581</v>
      </c>
    </row>
    <row r="40" spans="1:14" ht="15" customHeight="1" x14ac:dyDescent="0.45">
      <c r="B40" s="9" t="s">
        <v>262</v>
      </c>
      <c r="D40" s="34">
        <v>1738</v>
      </c>
      <c r="E40" s="41">
        <f t="shared" ref="E40:N40" si="16">E49*0.85</f>
        <v>3986.5</v>
      </c>
      <c r="F40" s="41">
        <f t="shared" si="16"/>
        <v>5863.3</v>
      </c>
      <c r="G40" s="41">
        <f t="shared" si="16"/>
        <v>7489.3499999999995</v>
      </c>
      <c r="H40" s="41">
        <f t="shared" si="16"/>
        <v>8963.25</v>
      </c>
      <c r="I40" s="41">
        <f t="shared" si="16"/>
        <v>10284.15</v>
      </c>
      <c r="J40" s="41">
        <f t="shared" si="16"/>
        <v>11452.9</v>
      </c>
      <c r="K40" s="41">
        <f t="shared" si="16"/>
        <v>12469.5</v>
      </c>
      <c r="L40" s="41">
        <f t="shared" si="16"/>
        <v>13334.8</v>
      </c>
      <c r="M40" s="41">
        <f t="shared" si="16"/>
        <v>14049.65</v>
      </c>
      <c r="N40" s="41">
        <f t="shared" si="16"/>
        <v>14614.05</v>
      </c>
    </row>
    <row r="41" spans="1:14" ht="15" customHeight="1" x14ac:dyDescent="0.45">
      <c r="B41" s="9" t="s">
        <v>263</v>
      </c>
      <c r="D41" s="34">
        <v>5800</v>
      </c>
      <c r="E41" s="41">
        <f t="shared" ref="E41:N41" si="17">D41</f>
        <v>5800</v>
      </c>
      <c r="F41" s="41">
        <f t="shared" si="17"/>
        <v>5800</v>
      </c>
      <c r="G41" s="41">
        <f t="shared" si="17"/>
        <v>5800</v>
      </c>
      <c r="H41" s="41">
        <f t="shared" si="17"/>
        <v>5800</v>
      </c>
      <c r="I41" s="41">
        <f t="shared" si="17"/>
        <v>5800</v>
      </c>
      <c r="J41" s="41">
        <f t="shared" si="17"/>
        <v>5800</v>
      </c>
      <c r="K41" s="41">
        <f t="shared" si="17"/>
        <v>5800</v>
      </c>
      <c r="L41" s="41">
        <f t="shared" si="17"/>
        <v>5800</v>
      </c>
      <c r="M41" s="41">
        <f t="shared" si="17"/>
        <v>5800</v>
      </c>
      <c r="N41" s="41">
        <f t="shared" si="17"/>
        <v>5800</v>
      </c>
    </row>
    <row r="42" spans="1:14" ht="15" customHeight="1" x14ac:dyDescent="0.45">
      <c r="B42" s="9" t="s">
        <v>264</v>
      </c>
      <c r="D42" s="34">
        <v>1150</v>
      </c>
      <c r="E42" s="41">
        <f>MAX(0,D42-Assumptions!E47)</f>
        <v>890</v>
      </c>
      <c r="F42" s="41">
        <f>MAX(0,E42-Assumptions!F47)</f>
        <v>660</v>
      </c>
      <c r="G42" s="41">
        <f>MAX(0,F42-Assumptions!G47)</f>
        <v>460</v>
      </c>
      <c r="H42" s="41">
        <f>MAX(0,G42-Assumptions!H47)</f>
        <v>280</v>
      </c>
      <c r="I42" s="41">
        <f>MAX(0,H42-Assumptions!I47)</f>
        <v>115</v>
      </c>
      <c r="J42" s="41">
        <f>MAX(0,I42-Assumptions!J47)</f>
        <v>0</v>
      </c>
      <c r="K42" s="41">
        <f>MAX(0,J42-Assumptions!K47)</f>
        <v>0</v>
      </c>
      <c r="L42" s="41">
        <f>MAX(0,K42-Assumptions!L47)</f>
        <v>0</v>
      </c>
      <c r="M42" s="41">
        <f>MAX(0,L42-Assumptions!M47)</f>
        <v>0</v>
      </c>
      <c r="N42" s="41">
        <f>MAX(0,M42-Assumptions!N47)</f>
        <v>0</v>
      </c>
    </row>
    <row r="43" spans="1:14" ht="15" customHeight="1" x14ac:dyDescent="0.45">
      <c r="B43" s="9" t="s">
        <v>265</v>
      </c>
      <c r="D43" s="34">
        <v>2021</v>
      </c>
      <c r="E43" s="41">
        <f t="shared" ref="E43:N43" si="18">D43</f>
        <v>2021</v>
      </c>
      <c r="F43" s="41">
        <f t="shared" si="18"/>
        <v>2021</v>
      </c>
      <c r="G43" s="41">
        <f t="shared" si="18"/>
        <v>2021</v>
      </c>
      <c r="H43" s="41">
        <f t="shared" si="18"/>
        <v>2021</v>
      </c>
      <c r="I43" s="41">
        <f t="shared" si="18"/>
        <v>2021</v>
      </c>
      <c r="J43" s="41">
        <f t="shared" si="18"/>
        <v>2021</v>
      </c>
      <c r="K43" s="41">
        <f t="shared" si="18"/>
        <v>2021</v>
      </c>
      <c r="L43" s="41">
        <f t="shared" si="18"/>
        <v>2021</v>
      </c>
      <c r="M43" s="41">
        <f t="shared" si="18"/>
        <v>2021</v>
      </c>
      <c r="N43" s="41">
        <f t="shared" si="18"/>
        <v>2021</v>
      </c>
    </row>
    <row r="44" spans="1:14" ht="15" customHeight="1" x14ac:dyDescent="0.45">
      <c r="B44" s="5" t="s">
        <v>81</v>
      </c>
      <c r="D44" s="39">
        <f t="shared" ref="D44:N44" si="19">SUM(D35:D43)</f>
        <v>35623</v>
      </c>
      <c r="E44" s="39">
        <f t="shared" si="19"/>
        <v>43015.166644998077</v>
      </c>
      <c r="F44" s="39">
        <f t="shared" si="19"/>
        <v>54209.102388392828</v>
      </c>
      <c r="G44" s="39">
        <f t="shared" si="19"/>
        <v>67940.334872422914</v>
      </c>
      <c r="H44" s="39">
        <f t="shared" si="19"/>
        <v>86164.981495304921</v>
      </c>
      <c r="I44" s="39">
        <f t="shared" si="19"/>
        <v>108516.03902885801</v>
      </c>
      <c r="J44" s="39">
        <f t="shared" si="19"/>
        <v>134019.51468186488</v>
      </c>
      <c r="K44" s="39">
        <f t="shared" si="19"/>
        <v>163259.34507009806</v>
      </c>
      <c r="L44" s="39">
        <f t="shared" si="19"/>
        <v>195907.43067695998</v>
      </c>
      <c r="M44" s="39">
        <f t="shared" si="19"/>
        <v>231993.00864587809</v>
      </c>
      <c r="N44" s="39">
        <f t="shared" si="19"/>
        <v>271551.32943004655</v>
      </c>
    </row>
    <row r="46" spans="1:14" ht="15" customHeight="1" x14ac:dyDescent="0.45">
      <c r="A46" s="59" t="s">
        <v>2</v>
      </c>
      <c r="B46" s="25" t="s">
        <v>266</v>
      </c>
    </row>
    <row r="47" spans="1:14" ht="15" customHeight="1" x14ac:dyDescent="0.45">
      <c r="B47" s="9" t="s">
        <v>267</v>
      </c>
      <c r="C47" s="37" t="s">
        <v>58</v>
      </c>
      <c r="D47" s="34">
        <v>1564</v>
      </c>
      <c r="E47" s="41">
        <f>-E8*Assumptions!E51/365</f>
        <v>2588.3099336232326</v>
      </c>
      <c r="F47" s="41">
        <f>-F8*Assumptions!F51/365</f>
        <v>5286.8331024657546</v>
      </c>
      <c r="G47" s="41">
        <f>-G8*Assumptions!G51/365</f>
        <v>7608.3783366575353</v>
      </c>
      <c r="H47" s="41">
        <f>-H8*Assumptions!H51/365</f>
        <v>10146.301873989043</v>
      </c>
      <c r="I47" s="41">
        <f>-I8*Assumptions!I51/365</f>
        <v>12741.845311067176</v>
      </c>
      <c r="J47" s="41">
        <f>-J8*Assumptions!J51/365</f>
        <v>15277.067949016584</v>
      </c>
      <c r="K47" s="41">
        <f>-K8*Assumptions!K51/365</f>
        <v>17680.556348208411</v>
      </c>
      <c r="L47" s="41">
        <f>-L8*Assumptions!L51/365</f>
        <v>19898.303511547161</v>
      </c>
      <c r="M47" s="41">
        <f>-M8*Assumptions!M51/365</f>
        <v>21887.093356070942</v>
      </c>
      <c r="N47" s="41">
        <f>-N8*Assumptions!N51/365</f>
        <v>23607.504777776259</v>
      </c>
    </row>
    <row r="48" spans="1:14" ht="15" customHeight="1" x14ac:dyDescent="0.45">
      <c r="B48" s="9" t="s">
        <v>268</v>
      </c>
      <c r="D48" s="34">
        <v>1297</v>
      </c>
      <c r="E48" s="41">
        <f>E6*Assumptions!E54</f>
        <v>3826.9127464050002</v>
      </c>
      <c r="F48" s="41">
        <f>F6*Assumptions!F54</f>
        <v>6693.2785500000018</v>
      </c>
      <c r="G48" s="41">
        <f>G6*Assumptions!G54</f>
        <v>9436.9941960000015</v>
      </c>
      <c r="H48" s="41">
        <f>H6*Assumptions!H54</f>
        <v>12432.130902695</v>
      </c>
      <c r="I48" s="41">
        <f>I6*Assumptions!I54</f>
        <v>15497.527048349501</v>
      </c>
      <c r="J48" s="41">
        <f>J6*Assumptions!J54</f>
        <v>18466.482382174505</v>
      </c>
      <c r="K48" s="41">
        <f>K6*Assumptions!K54</f>
        <v>21287.309705448224</v>
      </c>
      <c r="L48" s="41">
        <f>L6*Assumptions!L54</f>
        <v>23902.165134950199</v>
      </c>
      <c r="M48" s="41">
        <f>M6*Assumptions!M54</f>
        <v>26260.852281034913</v>
      </c>
      <c r="N48" s="41">
        <f>N6*Assumptions!N54</f>
        <v>28328.930969575707</v>
      </c>
    </row>
    <row r="49" spans="1:14" ht="15" customHeight="1" x14ac:dyDescent="0.45">
      <c r="B49" s="9" t="s">
        <v>269</v>
      </c>
      <c r="D49" s="34">
        <v>2045</v>
      </c>
      <c r="E49" s="41">
        <f>RevBuild!E8*Assumptions!E40+Assumptions!E41</f>
        <v>4690</v>
      </c>
      <c r="F49" s="41">
        <f>RevBuild!F8*Assumptions!F40+Assumptions!F41</f>
        <v>6898</v>
      </c>
      <c r="G49" s="41">
        <f>RevBuild!G8*Assumptions!G40+Assumptions!G41</f>
        <v>8811</v>
      </c>
      <c r="H49" s="41">
        <f>RevBuild!H8*Assumptions!H40+Assumptions!H41</f>
        <v>10545</v>
      </c>
      <c r="I49" s="41">
        <f>RevBuild!I8*Assumptions!I40+Assumptions!I41</f>
        <v>12099</v>
      </c>
      <c r="J49" s="41">
        <f>RevBuild!J8*Assumptions!J40+Assumptions!J41</f>
        <v>13474</v>
      </c>
      <c r="K49" s="41">
        <f>RevBuild!K8*Assumptions!K40+Assumptions!K41</f>
        <v>14670</v>
      </c>
      <c r="L49" s="41">
        <f>RevBuild!L8*Assumptions!L40+Assumptions!L41</f>
        <v>15688</v>
      </c>
      <c r="M49" s="41">
        <f>RevBuild!M8*Assumptions!M40+Assumptions!M41</f>
        <v>16529</v>
      </c>
      <c r="N49" s="41">
        <f>RevBuild!N8*Assumptions!N40+Assumptions!N41</f>
        <v>17193</v>
      </c>
    </row>
    <row r="50" spans="1:14" ht="15" customHeight="1" x14ac:dyDescent="0.45">
      <c r="B50" s="9" t="s">
        <v>270</v>
      </c>
      <c r="D50" s="34">
        <v>400</v>
      </c>
      <c r="E50" s="41">
        <f t="shared" ref="E50:N50" si="20">D50</f>
        <v>400</v>
      </c>
      <c r="F50" s="41">
        <f t="shared" si="20"/>
        <v>400</v>
      </c>
      <c r="G50" s="41">
        <f t="shared" si="20"/>
        <v>400</v>
      </c>
      <c r="H50" s="41">
        <f t="shared" si="20"/>
        <v>400</v>
      </c>
      <c r="I50" s="41">
        <f t="shared" si="20"/>
        <v>400</v>
      </c>
      <c r="J50" s="41">
        <f t="shared" si="20"/>
        <v>400</v>
      </c>
      <c r="K50" s="41">
        <f t="shared" si="20"/>
        <v>400</v>
      </c>
      <c r="L50" s="41">
        <f t="shared" si="20"/>
        <v>400</v>
      </c>
      <c r="M50" s="41">
        <f t="shared" si="20"/>
        <v>400</v>
      </c>
      <c r="N50" s="41">
        <f t="shared" si="20"/>
        <v>400</v>
      </c>
    </row>
    <row r="51" spans="1:14" ht="15" customHeight="1" x14ac:dyDescent="0.45">
      <c r="B51" s="5" t="s">
        <v>75</v>
      </c>
      <c r="D51" s="35">
        <f t="shared" ref="D51:N51" si="21">SUM(D47:D50)</f>
        <v>5306</v>
      </c>
      <c r="E51" s="35">
        <f t="shared" si="21"/>
        <v>11505.222680028233</v>
      </c>
      <c r="F51" s="35">
        <f t="shared" si="21"/>
        <v>19278.111652465755</v>
      </c>
      <c r="G51" s="35">
        <f t="shared" si="21"/>
        <v>26256.372532657537</v>
      </c>
      <c r="H51" s="35">
        <f t="shared" si="21"/>
        <v>33523.432776684043</v>
      </c>
      <c r="I51" s="35">
        <f t="shared" si="21"/>
        <v>40738.37235941668</v>
      </c>
      <c r="J51" s="35">
        <f t="shared" si="21"/>
        <v>47617.550331191087</v>
      </c>
      <c r="K51" s="35">
        <f t="shared" si="21"/>
        <v>54037.866053656631</v>
      </c>
      <c r="L51" s="35">
        <f t="shared" si="21"/>
        <v>59888.468646497364</v>
      </c>
      <c r="M51" s="35">
        <f t="shared" si="21"/>
        <v>65076.945637105855</v>
      </c>
      <c r="N51" s="35">
        <f t="shared" si="21"/>
        <v>69529.435747351963</v>
      </c>
    </row>
    <row r="53" spans="1:14" ht="15" customHeight="1" x14ac:dyDescent="0.45">
      <c r="B53" s="5" t="s">
        <v>271</v>
      </c>
      <c r="D53" s="31">
        <v>30317</v>
      </c>
      <c r="E53" s="58">
        <f t="shared" ref="E53:N53" si="22">E63</f>
        <v>31509.943964969843</v>
      </c>
      <c r="F53" s="58">
        <f t="shared" si="22"/>
        <v>34930.990735927073</v>
      </c>
      <c r="G53" s="58">
        <f t="shared" si="22"/>
        <v>41683.962339765378</v>
      </c>
      <c r="H53" s="58">
        <f t="shared" si="22"/>
        <v>52641.548718620877</v>
      </c>
      <c r="I53" s="58">
        <f t="shared" si="22"/>
        <v>67777.666669441343</v>
      </c>
      <c r="J53" s="58">
        <f t="shared" si="22"/>
        <v>86401.964350673821</v>
      </c>
      <c r="K53" s="58">
        <f t="shared" si="22"/>
        <v>109221.47901644143</v>
      </c>
      <c r="L53" s="58">
        <f t="shared" si="22"/>
        <v>136018.96203046263</v>
      </c>
      <c r="M53" s="58">
        <f t="shared" si="22"/>
        <v>166916.06300877221</v>
      </c>
      <c r="N53" s="58">
        <f t="shared" si="22"/>
        <v>202021.89368269456</v>
      </c>
    </row>
    <row r="54" spans="1:14" ht="15" customHeight="1" x14ac:dyDescent="0.45">
      <c r="B54" s="5" t="s">
        <v>272</v>
      </c>
      <c r="D54" s="39">
        <f t="shared" ref="D54:N54" si="23">D51+D53</f>
        <v>35623</v>
      </c>
      <c r="E54" s="39">
        <f t="shared" si="23"/>
        <v>43015.166644998077</v>
      </c>
      <c r="F54" s="39">
        <f t="shared" si="23"/>
        <v>54209.102388392828</v>
      </c>
      <c r="G54" s="39">
        <f t="shared" si="23"/>
        <v>67940.334872422914</v>
      </c>
      <c r="H54" s="39">
        <f t="shared" si="23"/>
        <v>86164.981495304921</v>
      </c>
      <c r="I54" s="39">
        <f t="shared" si="23"/>
        <v>108516.03902885802</v>
      </c>
      <c r="J54" s="39">
        <f t="shared" si="23"/>
        <v>134019.51468186491</v>
      </c>
      <c r="K54" s="39">
        <f t="shared" si="23"/>
        <v>163259.34507009806</v>
      </c>
      <c r="L54" s="39">
        <f t="shared" si="23"/>
        <v>195907.43067695998</v>
      </c>
      <c r="M54" s="39">
        <f t="shared" si="23"/>
        <v>231993.00864587806</v>
      </c>
      <c r="N54" s="39">
        <f t="shared" si="23"/>
        <v>271551.32943004649</v>
      </c>
    </row>
    <row r="55" spans="1:14" ht="15" customHeight="1" x14ac:dyDescent="0.45">
      <c r="B55" s="5" t="s">
        <v>511</v>
      </c>
      <c r="D55" s="21">
        <f t="shared" ref="D55:N55" si="24">D44-D54</f>
        <v>0</v>
      </c>
      <c r="E55" s="21">
        <f t="shared" si="24"/>
        <v>0</v>
      </c>
      <c r="F55" s="21">
        <f t="shared" si="24"/>
        <v>0</v>
      </c>
      <c r="G55" s="21">
        <f t="shared" si="24"/>
        <v>0</v>
      </c>
      <c r="H55" s="21">
        <f t="shared" si="24"/>
        <v>0</v>
      </c>
      <c r="I55" s="21">
        <f t="shared" si="24"/>
        <v>0</v>
      </c>
      <c r="J55" s="21">
        <f t="shared" si="24"/>
        <v>0</v>
      </c>
      <c r="K55" s="21">
        <f t="shared" si="24"/>
        <v>0</v>
      </c>
      <c r="L55" s="21">
        <f t="shared" si="24"/>
        <v>0</v>
      </c>
      <c r="M55" s="21">
        <f t="shared" si="24"/>
        <v>0</v>
      </c>
      <c r="N55" s="21">
        <f t="shared" si="24"/>
        <v>0</v>
      </c>
    </row>
    <row r="57" spans="1:14" ht="15" customHeight="1" x14ac:dyDescent="0.45">
      <c r="A57" s="59" t="s">
        <v>2</v>
      </c>
      <c r="B57" s="25" t="s">
        <v>273</v>
      </c>
    </row>
    <row r="58" spans="1:14" ht="15" customHeight="1" x14ac:dyDescent="0.45">
      <c r="B58" s="9" t="s">
        <v>274</v>
      </c>
      <c r="E58" s="41">
        <f t="shared" ref="E58:N58" si="25">D53</f>
        <v>30317</v>
      </c>
      <c r="F58" s="41">
        <f t="shared" si="25"/>
        <v>31509.943964969843</v>
      </c>
      <c r="G58" s="41">
        <f t="shared" si="25"/>
        <v>34930.990735927073</v>
      </c>
      <c r="H58" s="41">
        <f t="shared" si="25"/>
        <v>41683.962339765378</v>
      </c>
      <c r="I58" s="41">
        <f t="shared" si="25"/>
        <v>52641.548718620877</v>
      </c>
      <c r="J58" s="41">
        <f t="shared" si="25"/>
        <v>67777.666669441343</v>
      </c>
      <c r="K58" s="41">
        <f t="shared" si="25"/>
        <v>86401.964350673821</v>
      </c>
      <c r="L58" s="41">
        <f t="shared" si="25"/>
        <v>109221.47901644143</v>
      </c>
      <c r="M58" s="41">
        <f t="shared" si="25"/>
        <v>136018.96203046263</v>
      </c>
      <c r="N58" s="41">
        <f t="shared" si="25"/>
        <v>166916.06300877221</v>
      </c>
    </row>
    <row r="59" spans="1:14" ht="15" customHeight="1" x14ac:dyDescent="0.45">
      <c r="B59" s="9" t="s">
        <v>275</v>
      </c>
      <c r="E59" s="41">
        <f t="shared" ref="E59:N59" si="26">E30</f>
        <v>382.94396496984371</v>
      </c>
      <c r="F59" s="41">
        <f t="shared" si="26"/>
        <v>2561.0467709572285</v>
      </c>
      <c r="G59" s="41">
        <f t="shared" si="26"/>
        <v>5842.971603838304</v>
      </c>
      <c r="H59" s="41">
        <f t="shared" si="26"/>
        <v>9997.5863788555016</v>
      </c>
      <c r="I59" s="41">
        <f t="shared" si="26"/>
        <v>14126.117950820462</v>
      </c>
      <c r="J59" s="41">
        <f t="shared" si="26"/>
        <v>17564.297681232474</v>
      </c>
      <c r="K59" s="41">
        <f t="shared" si="26"/>
        <v>21709.514665767612</v>
      </c>
      <c r="L59" s="41">
        <f t="shared" si="26"/>
        <v>25637.483014021211</v>
      </c>
      <c r="M59" s="41">
        <f t="shared" si="26"/>
        <v>29687.100978309576</v>
      </c>
      <c r="N59" s="41">
        <f t="shared" si="26"/>
        <v>33845.830673922355</v>
      </c>
    </row>
    <row r="60" spans="1:14" ht="15" customHeight="1" x14ac:dyDescent="0.45">
      <c r="B60" s="9" t="s">
        <v>276</v>
      </c>
      <c r="E60" s="10">
        <f>Assumptions!E37</f>
        <v>810</v>
      </c>
      <c r="F60" s="10">
        <f>Assumptions!F37</f>
        <v>860</v>
      </c>
      <c r="G60" s="10">
        <f>Assumptions!G37</f>
        <v>910</v>
      </c>
      <c r="H60" s="10">
        <f>Assumptions!H37</f>
        <v>960</v>
      </c>
      <c r="I60" s="10">
        <f>Assumptions!I37</f>
        <v>1010</v>
      </c>
      <c r="J60" s="10">
        <f>Assumptions!J37</f>
        <v>1060</v>
      </c>
      <c r="K60" s="10">
        <f>Assumptions!K37</f>
        <v>1110</v>
      </c>
      <c r="L60" s="10">
        <f>Assumptions!L37</f>
        <v>1160</v>
      </c>
      <c r="M60" s="10">
        <f>Assumptions!M37</f>
        <v>1210</v>
      </c>
      <c r="N60" s="10">
        <f>Assumptions!N37</f>
        <v>1260</v>
      </c>
    </row>
    <row r="61" spans="1:14" ht="15" customHeight="1" x14ac:dyDescent="0.45">
      <c r="B61" s="9" t="s">
        <v>277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</row>
    <row r="62" spans="1:14" ht="15" customHeight="1" x14ac:dyDescent="0.45">
      <c r="B62" s="9" t="s">
        <v>278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</row>
    <row r="63" spans="1:14" ht="15" customHeight="1" x14ac:dyDescent="0.45">
      <c r="B63" s="5" t="s">
        <v>279</v>
      </c>
      <c r="E63" s="35">
        <f t="shared" ref="E63:N63" si="27">SUM(E58:E62)</f>
        <v>31509.943964969843</v>
      </c>
      <c r="F63" s="35">
        <f t="shared" si="27"/>
        <v>34930.990735927073</v>
      </c>
      <c r="G63" s="35">
        <f t="shared" si="27"/>
        <v>41683.962339765378</v>
      </c>
      <c r="H63" s="35">
        <f t="shared" si="27"/>
        <v>52641.548718620877</v>
      </c>
      <c r="I63" s="35">
        <f t="shared" si="27"/>
        <v>67777.666669441343</v>
      </c>
      <c r="J63" s="35">
        <f t="shared" si="27"/>
        <v>86401.964350673821</v>
      </c>
      <c r="K63" s="35">
        <f t="shared" si="27"/>
        <v>109221.47901644143</v>
      </c>
      <c r="L63" s="35">
        <f t="shared" si="27"/>
        <v>136018.96203046263</v>
      </c>
      <c r="M63" s="35">
        <f t="shared" si="27"/>
        <v>166916.06300877221</v>
      </c>
      <c r="N63" s="35">
        <f t="shared" si="27"/>
        <v>202021.89368269456</v>
      </c>
    </row>
    <row r="65" spans="1:14" ht="15" customHeight="1" x14ac:dyDescent="0.45">
      <c r="A65" s="59" t="s">
        <v>2</v>
      </c>
      <c r="B65" s="25" t="s">
        <v>280</v>
      </c>
    </row>
    <row r="66" spans="1:14" ht="15" customHeight="1" x14ac:dyDescent="0.45">
      <c r="B66" s="9" t="s">
        <v>66</v>
      </c>
      <c r="E66" s="41">
        <f t="shared" ref="E66:N66" si="28">E30</f>
        <v>382.94396496984371</v>
      </c>
      <c r="F66" s="41">
        <f t="shared" si="28"/>
        <v>2561.0467709572285</v>
      </c>
      <c r="G66" s="41">
        <f t="shared" si="28"/>
        <v>5842.971603838304</v>
      </c>
      <c r="H66" s="41">
        <f t="shared" si="28"/>
        <v>9997.5863788555016</v>
      </c>
      <c r="I66" s="41">
        <f t="shared" si="28"/>
        <v>14126.117950820462</v>
      </c>
      <c r="J66" s="41">
        <f t="shared" si="28"/>
        <v>17564.297681232474</v>
      </c>
      <c r="K66" s="41">
        <f t="shared" si="28"/>
        <v>21709.514665767612</v>
      </c>
      <c r="L66" s="41">
        <f t="shared" si="28"/>
        <v>25637.483014021211</v>
      </c>
      <c r="M66" s="41">
        <f t="shared" si="28"/>
        <v>29687.100978309576</v>
      </c>
      <c r="N66" s="41">
        <f t="shared" si="28"/>
        <v>33845.830673922355</v>
      </c>
    </row>
    <row r="67" spans="1:14" ht="15" customHeight="1" x14ac:dyDescent="0.45">
      <c r="B67" s="9" t="s">
        <v>281</v>
      </c>
      <c r="E67" s="41">
        <f t="shared" ref="E67:N67" si="29">-E23</f>
        <v>1585.22052029</v>
      </c>
      <c r="F67" s="41">
        <f t="shared" si="29"/>
        <v>1914.9270053335999</v>
      </c>
      <c r="G67" s="41">
        <f t="shared" si="29"/>
        <v>2368.6686969602242</v>
      </c>
      <c r="H67" s="41">
        <f t="shared" si="29"/>
        <v>2901.9657369881888</v>
      </c>
      <c r="I67" s="41">
        <f t="shared" si="29"/>
        <v>3453.1380518082392</v>
      </c>
      <c r="J67" s="41">
        <f t="shared" si="29"/>
        <v>3970.7532430737542</v>
      </c>
      <c r="K67" s="41">
        <f t="shared" si="29"/>
        <v>4427.4457770419012</v>
      </c>
      <c r="L67" s="41">
        <f t="shared" si="29"/>
        <v>4983.8389317814499</v>
      </c>
      <c r="M67" s="41">
        <f t="shared" si="29"/>
        <v>5522.8146149189306</v>
      </c>
      <c r="N67" s="41">
        <f t="shared" si="29"/>
        <v>6035.1050768315736</v>
      </c>
    </row>
    <row r="68" spans="1:14" ht="15" customHeight="1" x14ac:dyDescent="0.45">
      <c r="B68" s="9" t="s">
        <v>183</v>
      </c>
      <c r="E68" s="10">
        <f>Assumptions!E37</f>
        <v>810</v>
      </c>
      <c r="F68" s="10">
        <f>Assumptions!F37</f>
        <v>860</v>
      </c>
      <c r="G68" s="10">
        <f>Assumptions!G37</f>
        <v>910</v>
      </c>
      <c r="H68" s="10">
        <f>Assumptions!H37</f>
        <v>960</v>
      </c>
      <c r="I68" s="10">
        <f>Assumptions!I37</f>
        <v>1010</v>
      </c>
      <c r="J68" s="10">
        <f>Assumptions!J37</f>
        <v>1060</v>
      </c>
      <c r="K68" s="10">
        <f>Assumptions!K37</f>
        <v>1110</v>
      </c>
      <c r="L68" s="10">
        <f>Assumptions!L37</f>
        <v>1160</v>
      </c>
      <c r="M68" s="10">
        <f>Assumptions!M37</f>
        <v>1210</v>
      </c>
      <c r="N68" s="10">
        <f>Assumptions!N37</f>
        <v>1260</v>
      </c>
    </row>
    <row r="69" spans="1:14" ht="15" customHeight="1" x14ac:dyDescent="0.45">
      <c r="B69" s="9" t="s">
        <v>282</v>
      </c>
      <c r="E69" s="41">
        <f t="shared" ref="E69:N69" si="30">-(E36-D36)</f>
        <v>-542.87796902417517</v>
      </c>
      <c r="F69" s="41">
        <f t="shared" si="30"/>
        <v>-1259.3108121265102</v>
      </c>
      <c r="G69" s="41">
        <f t="shared" si="30"/>
        <v>-1083.3877759561642</v>
      </c>
      <c r="H69" s="41">
        <f t="shared" si="30"/>
        <v>-1184.3643174213703</v>
      </c>
      <c r="I69" s="41">
        <f t="shared" si="30"/>
        <v>-1211.253603969797</v>
      </c>
      <c r="J69" s="41">
        <f t="shared" si="30"/>
        <v>-1183.1038977097214</v>
      </c>
      <c r="K69" s="41">
        <f t="shared" si="30"/>
        <v>-1121.6279196228534</v>
      </c>
      <c r="L69" s="41">
        <f t="shared" si="30"/>
        <v>-1034.9486762247507</v>
      </c>
      <c r="M69" s="41">
        <f t="shared" si="30"/>
        <v>-928.10192744442975</v>
      </c>
      <c r="N69" s="41">
        <f t="shared" si="30"/>
        <v>-802.85866346248258</v>
      </c>
    </row>
    <row r="70" spans="1:14" ht="15" customHeight="1" x14ac:dyDescent="0.45">
      <c r="B70" s="9" t="s">
        <v>283</v>
      </c>
      <c r="E70" s="41">
        <f t="shared" ref="E70:N70" si="31">-(E37-D37)</f>
        <v>742.74943361095893</v>
      </c>
      <c r="F70" s="41">
        <f t="shared" si="31"/>
        <v>-897.49222813150709</v>
      </c>
      <c r="G70" s="41">
        <f t="shared" si="31"/>
        <v>-859.08904767123249</v>
      </c>
      <c r="H70" s="41">
        <f t="shared" si="31"/>
        <v>-937.81188467945231</v>
      </c>
      <c r="I70" s="41">
        <f t="shared" si="31"/>
        <v>-959.81092623232826</v>
      </c>
      <c r="J70" s="41">
        <f t="shared" si="31"/>
        <v>-929.61419454403222</v>
      </c>
      <c r="K70" s="41">
        <f t="shared" si="31"/>
        <v>-883.2336041561548</v>
      </c>
      <c r="L70" s="41">
        <f t="shared" si="31"/>
        <v>-818.74142606715486</v>
      </c>
      <c r="M70" s="41">
        <f t="shared" si="31"/>
        <v>-738.53217881321871</v>
      </c>
      <c r="N70" s="41">
        <f t="shared" si="31"/>
        <v>-647.5393153943769</v>
      </c>
    </row>
    <row r="71" spans="1:14" ht="15" customHeight="1" x14ac:dyDescent="0.45">
      <c r="B71" s="9" t="s">
        <v>284</v>
      </c>
      <c r="E71" s="41">
        <f t="shared" ref="E71:N71" si="32">-(E38-D38)</f>
        <v>113.19271634000006</v>
      </c>
      <c r="F71" s="41">
        <f t="shared" si="32"/>
        <v>-1637.9233163400008</v>
      </c>
      <c r="G71" s="41">
        <f t="shared" si="32"/>
        <v>-1567.8375119999992</v>
      </c>
      <c r="H71" s="41">
        <f t="shared" si="32"/>
        <v>-1711.5066895400005</v>
      </c>
      <c r="I71" s="41">
        <f t="shared" si="32"/>
        <v>-1751.6549403739991</v>
      </c>
      <c r="J71" s="41">
        <f t="shared" si="32"/>
        <v>-1696.5459050428599</v>
      </c>
      <c r="K71" s="41">
        <f t="shared" si="32"/>
        <v>-1611.9013275849811</v>
      </c>
      <c r="L71" s="41">
        <f t="shared" si="32"/>
        <v>-1494.2031025725591</v>
      </c>
      <c r="M71" s="41">
        <f t="shared" si="32"/>
        <v>-1347.8212263341211</v>
      </c>
      <c r="N71" s="41">
        <f t="shared" si="32"/>
        <v>-1181.7592505947396</v>
      </c>
    </row>
    <row r="72" spans="1:14" ht="15" customHeight="1" x14ac:dyDescent="0.45">
      <c r="B72" s="9" t="s">
        <v>285</v>
      </c>
      <c r="E72" s="41">
        <f t="shared" ref="E72:N72" si="33">-(E43-D43)</f>
        <v>0</v>
      </c>
      <c r="F72" s="41">
        <f t="shared" si="33"/>
        <v>0</v>
      </c>
      <c r="G72" s="41">
        <f t="shared" si="33"/>
        <v>0</v>
      </c>
      <c r="H72" s="41">
        <f t="shared" si="33"/>
        <v>0</v>
      </c>
      <c r="I72" s="41">
        <f t="shared" si="33"/>
        <v>0</v>
      </c>
      <c r="J72" s="41">
        <f t="shared" si="33"/>
        <v>0</v>
      </c>
      <c r="K72" s="41">
        <f t="shared" si="33"/>
        <v>0</v>
      </c>
      <c r="L72" s="41">
        <f t="shared" si="33"/>
        <v>0</v>
      </c>
      <c r="M72" s="41">
        <f t="shared" si="33"/>
        <v>0</v>
      </c>
      <c r="N72" s="41">
        <f t="shared" si="33"/>
        <v>0</v>
      </c>
    </row>
    <row r="73" spans="1:14" ht="15" customHeight="1" x14ac:dyDescent="0.45">
      <c r="B73" s="9" t="s">
        <v>286</v>
      </c>
      <c r="E73" s="41">
        <f t="shared" ref="E73:N73" si="34">E47-D47</f>
        <v>1024.3099336232326</v>
      </c>
      <c r="F73" s="41">
        <f t="shared" si="34"/>
        <v>2698.523168842522</v>
      </c>
      <c r="G73" s="41">
        <f t="shared" si="34"/>
        <v>2321.5452341917808</v>
      </c>
      <c r="H73" s="41">
        <f t="shared" si="34"/>
        <v>2537.9235373315078</v>
      </c>
      <c r="I73" s="41">
        <f t="shared" si="34"/>
        <v>2595.5434370781331</v>
      </c>
      <c r="J73" s="41">
        <f t="shared" si="34"/>
        <v>2535.2226379494077</v>
      </c>
      <c r="K73" s="41">
        <f t="shared" si="34"/>
        <v>2403.4883991918268</v>
      </c>
      <c r="L73" s="41">
        <f t="shared" si="34"/>
        <v>2217.7471633387504</v>
      </c>
      <c r="M73" s="41">
        <f t="shared" si="34"/>
        <v>1988.7898445237806</v>
      </c>
      <c r="N73" s="41">
        <f t="shared" si="34"/>
        <v>1720.4114217053175</v>
      </c>
    </row>
    <row r="74" spans="1:14" ht="15" customHeight="1" x14ac:dyDescent="0.45">
      <c r="B74" s="9" t="s">
        <v>287</v>
      </c>
      <c r="E74" s="41">
        <f t="shared" ref="E74:N74" si="35">E48-D48</f>
        <v>2529.9127464050002</v>
      </c>
      <c r="F74" s="41">
        <f t="shared" si="35"/>
        <v>2866.3658035950016</v>
      </c>
      <c r="G74" s="41">
        <f t="shared" si="35"/>
        <v>2743.7156459999997</v>
      </c>
      <c r="H74" s="41">
        <f t="shared" si="35"/>
        <v>2995.1367066949988</v>
      </c>
      <c r="I74" s="41">
        <f t="shared" si="35"/>
        <v>3065.3961456545003</v>
      </c>
      <c r="J74" s="41">
        <f t="shared" si="35"/>
        <v>2968.9553338250043</v>
      </c>
      <c r="K74" s="41">
        <f t="shared" si="35"/>
        <v>2820.8273232737192</v>
      </c>
      <c r="L74" s="41">
        <f t="shared" si="35"/>
        <v>2614.8554295019749</v>
      </c>
      <c r="M74" s="41">
        <f t="shared" si="35"/>
        <v>2358.6871460847142</v>
      </c>
      <c r="N74" s="41">
        <f t="shared" si="35"/>
        <v>2068.0786885407942</v>
      </c>
    </row>
    <row r="75" spans="1:14" ht="15" customHeight="1" x14ac:dyDescent="0.45">
      <c r="B75" s="9" t="s">
        <v>288</v>
      </c>
      <c r="E75" s="41">
        <f t="shared" ref="E75:N75" si="36">E50-D50</f>
        <v>0</v>
      </c>
      <c r="F75" s="41">
        <f t="shared" si="36"/>
        <v>0</v>
      </c>
      <c r="G75" s="41">
        <f t="shared" si="36"/>
        <v>0</v>
      </c>
      <c r="H75" s="41">
        <f t="shared" si="36"/>
        <v>0</v>
      </c>
      <c r="I75" s="41">
        <f t="shared" si="36"/>
        <v>0</v>
      </c>
      <c r="J75" s="41">
        <f t="shared" si="36"/>
        <v>0</v>
      </c>
      <c r="K75" s="41">
        <f t="shared" si="36"/>
        <v>0</v>
      </c>
      <c r="L75" s="41">
        <f t="shared" si="36"/>
        <v>0</v>
      </c>
      <c r="M75" s="41">
        <f t="shared" si="36"/>
        <v>0</v>
      </c>
      <c r="N75" s="41">
        <f t="shared" si="36"/>
        <v>0</v>
      </c>
    </row>
    <row r="76" spans="1:14" ht="15" customHeight="1" x14ac:dyDescent="0.45">
      <c r="B76" s="5" t="s">
        <v>289</v>
      </c>
      <c r="E76" s="35">
        <f t="shared" ref="E76:N76" si="37">SUM(E66:E75)</f>
        <v>6645.4513462148607</v>
      </c>
      <c r="F76" s="35">
        <f t="shared" si="37"/>
        <v>7106.1363921303328</v>
      </c>
      <c r="G76" s="35">
        <f t="shared" si="37"/>
        <v>10676.586845362914</v>
      </c>
      <c r="H76" s="35">
        <f t="shared" si="37"/>
        <v>15558.929468229373</v>
      </c>
      <c r="I76" s="35">
        <f t="shared" si="37"/>
        <v>20327.476114785215</v>
      </c>
      <c r="J76" s="35">
        <f t="shared" si="37"/>
        <v>24289.964898784026</v>
      </c>
      <c r="K76" s="35">
        <f t="shared" si="37"/>
        <v>28854.513313911069</v>
      </c>
      <c r="L76" s="35">
        <f t="shared" si="37"/>
        <v>33266.031333778927</v>
      </c>
      <c r="M76" s="35">
        <f t="shared" si="37"/>
        <v>37752.937251245239</v>
      </c>
      <c r="N76" s="35">
        <f t="shared" si="37"/>
        <v>42297.268631548439</v>
      </c>
    </row>
    <row r="77" spans="1:14" ht="15" customHeight="1" x14ac:dyDescent="0.45">
      <c r="B77" s="9" t="s">
        <v>290</v>
      </c>
      <c r="E77" s="41">
        <f>-(RevBuild!E7*Assumptions!E43+RevBuild!E11*Assumptions!E44+(RevBuild!E22+RevBuild!E28+RevBuild!E30+RevBuild!E32)*Assumptions!E45)</f>
        <v>-1256.950253625</v>
      </c>
      <c r="F77" s="41">
        <f>-(RevBuild!F7*Assumptions!F43+RevBuild!F11*Assumptions!F44+(RevBuild!F22+RevBuild!F28+RevBuild!F30+RevBuild!F32)*Assumptions!F45)</f>
        <v>-1509.3691000000001</v>
      </c>
      <c r="G77" s="41">
        <f>-(RevBuild!G7*Assumptions!G43+RevBuild!G11*Assumptions!G44+(RevBuild!G22+RevBuild!G28+RevBuild!G30+RevBuild!G32)*Assumptions!G45)</f>
        <v>-1779.6485559999999</v>
      </c>
      <c r="H77" s="41">
        <f>-(RevBuild!H7*Assumptions!H43+RevBuild!H11*Assumptions!H44+(RevBuild!H22+RevBuild!H28+RevBuild!H30+RevBuild!H32)*Assumptions!H45)</f>
        <v>-1989.3293382699999</v>
      </c>
      <c r="I77" s="41">
        <f>-(RevBuild!I7*Assumptions!I43+RevBuild!I11*Assumptions!I44+(RevBuild!I22+RevBuild!I28+RevBuild!I30+RevBuild!I32)*Assumptions!I45)</f>
        <v>-2203.2160709569998</v>
      </c>
      <c r="J77" s="41">
        <f>-(RevBuild!J7*Assumptions!J43+RevBuild!J11*Assumptions!J44+(RevBuild!J22+RevBuild!J28+RevBuild!J30+RevBuild!J32)*Assumptions!J45)</f>
        <v>-2384.5524234784298</v>
      </c>
      <c r="K77" s="41">
        <f>-(RevBuild!K7*Assumptions!K43+RevBuild!K11*Assumptions!K44+(RevBuild!K22+RevBuild!K28+RevBuild!K30+RevBuild!K32)*Assumptions!K45)</f>
        <v>-2549.4782372709196</v>
      </c>
      <c r="L77" s="41">
        <f>-(RevBuild!L7*Assumptions!L43+RevBuild!L11*Assumptions!L44+(RevBuild!L22+RevBuild!L28+RevBuild!L30+RevBuild!L32)*Assumptions!L45)</f>
        <v>-2692.7427510572006</v>
      </c>
      <c r="M77" s="41">
        <f>-(RevBuild!M7*Assumptions!M43+RevBuild!M11*Assumptions!M44+(RevBuild!M22+RevBuild!M28+RevBuild!M30+RevBuild!M32)*Assumptions!M45)</f>
        <v>-2805.6486517242611</v>
      </c>
      <c r="N77" s="41">
        <f>-(RevBuild!N7*Assumptions!N43+RevBuild!N11*Assumptions!N44+(RevBuild!N22+RevBuild!N28+RevBuild!N30+RevBuild!N32)*Assumptions!N45)</f>
        <v>-2889.3688520216297</v>
      </c>
    </row>
    <row r="78" spans="1:14" ht="15" customHeight="1" x14ac:dyDescent="0.45">
      <c r="B78" s="5" t="s">
        <v>291</v>
      </c>
      <c r="E78" s="58">
        <f t="shared" ref="E78:N78" si="38">E77</f>
        <v>-1256.950253625</v>
      </c>
      <c r="F78" s="58">
        <f t="shared" si="38"/>
        <v>-1509.3691000000001</v>
      </c>
      <c r="G78" s="58">
        <f t="shared" si="38"/>
        <v>-1779.6485559999999</v>
      </c>
      <c r="H78" s="58">
        <f t="shared" si="38"/>
        <v>-1989.3293382699999</v>
      </c>
      <c r="I78" s="58">
        <f t="shared" si="38"/>
        <v>-2203.2160709569998</v>
      </c>
      <c r="J78" s="58">
        <f t="shared" si="38"/>
        <v>-2384.5524234784298</v>
      </c>
      <c r="K78" s="58">
        <f t="shared" si="38"/>
        <v>-2549.4782372709196</v>
      </c>
      <c r="L78" s="58">
        <f t="shared" si="38"/>
        <v>-2692.7427510572006</v>
      </c>
      <c r="M78" s="58">
        <f t="shared" si="38"/>
        <v>-2805.6486517242611</v>
      </c>
      <c r="N78" s="58">
        <f t="shared" si="38"/>
        <v>-2889.3688520216297</v>
      </c>
    </row>
    <row r="79" spans="1:14" ht="15" customHeight="1" x14ac:dyDescent="0.45">
      <c r="B79" s="9" t="s">
        <v>292</v>
      </c>
      <c r="E79" s="41">
        <f t="shared" ref="E79:N79" si="39">-E88</f>
        <v>-644.00450000000001</v>
      </c>
      <c r="F79" s="41">
        <f t="shared" si="39"/>
        <v>-893.25999999999988</v>
      </c>
      <c r="G79" s="41">
        <f t="shared" si="39"/>
        <v>-1231.8050000000003</v>
      </c>
      <c r="H79" s="41">
        <f t="shared" si="39"/>
        <v>-1614.42</v>
      </c>
      <c r="I79" s="41">
        <f t="shared" si="39"/>
        <v>-2007.7800000000002</v>
      </c>
      <c r="J79" s="41">
        <f t="shared" si="39"/>
        <v>-2402.7849999999999</v>
      </c>
      <c r="K79" s="41">
        <f t="shared" si="39"/>
        <v>-2806.08</v>
      </c>
      <c r="L79" s="41">
        <f t="shared" si="39"/>
        <v>-3200.5099999999998</v>
      </c>
      <c r="M79" s="41">
        <f t="shared" si="39"/>
        <v>-3587.0650000000001</v>
      </c>
      <c r="N79" s="41">
        <f t="shared" si="39"/>
        <v>-3959.84</v>
      </c>
    </row>
    <row r="80" spans="1:14" ht="15" customHeight="1" x14ac:dyDescent="0.45">
      <c r="B80" s="5" t="s">
        <v>293</v>
      </c>
      <c r="E80" s="58">
        <f t="shared" ref="E80:N80" si="40">E79</f>
        <v>-644.00450000000001</v>
      </c>
      <c r="F80" s="58">
        <f t="shared" si="40"/>
        <v>-893.25999999999988</v>
      </c>
      <c r="G80" s="58">
        <f t="shared" si="40"/>
        <v>-1231.8050000000003</v>
      </c>
      <c r="H80" s="58">
        <f t="shared" si="40"/>
        <v>-1614.42</v>
      </c>
      <c r="I80" s="58">
        <f t="shared" si="40"/>
        <v>-2007.7800000000002</v>
      </c>
      <c r="J80" s="58">
        <f t="shared" si="40"/>
        <v>-2402.7849999999999</v>
      </c>
      <c r="K80" s="58">
        <f t="shared" si="40"/>
        <v>-2806.08</v>
      </c>
      <c r="L80" s="58">
        <f t="shared" si="40"/>
        <v>-3200.5099999999998</v>
      </c>
      <c r="M80" s="58">
        <f t="shared" si="40"/>
        <v>-3587.0650000000001</v>
      </c>
      <c r="N80" s="58">
        <f t="shared" si="40"/>
        <v>-3959.84</v>
      </c>
    </row>
    <row r="81" spans="1:14" ht="15" customHeight="1" x14ac:dyDescent="0.45">
      <c r="B81" s="5" t="s">
        <v>294</v>
      </c>
      <c r="E81" s="35">
        <f t="shared" ref="E81:N81" si="41">E76+E78+E80</f>
        <v>4744.4965925898605</v>
      </c>
      <c r="F81" s="35">
        <f t="shared" si="41"/>
        <v>4703.5072921303326</v>
      </c>
      <c r="G81" s="35">
        <f t="shared" si="41"/>
        <v>7665.1332893629133</v>
      </c>
      <c r="H81" s="35">
        <f t="shared" si="41"/>
        <v>11955.180129959374</v>
      </c>
      <c r="I81" s="35">
        <f t="shared" si="41"/>
        <v>16116.480043828216</v>
      </c>
      <c r="J81" s="35">
        <f t="shared" si="41"/>
        <v>19502.627475305595</v>
      </c>
      <c r="K81" s="35">
        <f t="shared" si="41"/>
        <v>23498.955076640152</v>
      </c>
      <c r="L81" s="35">
        <f t="shared" si="41"/>
        <v>27372.778582721727</v>
      </c>
      <c r="M81" s="35">
        <f t="shared" si="41"/>
        <v>31360.223599520981</v>
      </c>
      <c r="N81" s="35">
        <f t="shared" si="41"/>
        <v>35448.059779526811</v>
      </c>
    </row>
    <row r="82" spans="1:14" ht="15" customHeight="1" x14ac:dyDescent="0.45">
      <c r="B82" s="9" t="s">
        <v>295</v>
      </c>
      <c r="E82" s="41">
        <f t="shared" ref="E82:N82" si="42">D35</f>
        <v>18857</v>
      </c>
      <c r="F82" s="41">
        <f t="shared" si="42"/>
        <v>23601.496592589861</v>
      </c>
      <c r="G82" s="41">
        <f t="shared" si="42"/>
        <v>28305.003884720194</v>
      </c>
      <c r="H82" s="41">
        <f t="shared" si="42"/>
        <v>35970.137174083109</v>
      </c>
      <c r="I82" s="41">
        <f t="shared" si="42"/>
        <v>47925.317304042481</v>
      </c>
      <c r="J82" s="41">
        <f t="shared" si="42"/>
        <v>64041.797347870699</v>
      </c>
      <c r="K82" s="41">
        <f t="shared" si="42"/>
        <v>83544.42482317629</v>
      </c>
      <c r="L82" s="41">
        <f t="shared" si="42"/>
        <v>107043.37989981644</v>
      </c>
      <c r="M82" s="41">
        <f t="shared" si="42"/>
        <v>134416.15848253816</v>
      </c>
      <c r="N82" s="41">
        <f t="shared" si="42"/>
        <v>165776.38208205914</v>
      </c>
    </row>
    <row r="83" spans="1:14" ht="15" customHeight="1" x14ac:dyDescent="0.45">
      <c r="B83" s="5" t="s">
        <v>296</v>
      </c>
      <c r="E83" s="58">
        <f t="shared" ref="E83:N83" si="43">E81+E82</f>
        <v>23601.496592589861</v>
      </c>
      <c r="F83" s="58">
        <f t="shared" si="43"/>
        <v>28305.003884720194</v>
      </c>
      <c r="G83" s="58">
        <f t="shared" si="43"/>
        <v>35970.137174083109</v>
      </c>
      <c r="H83" s="58">
        <f t="shared" si="43"/>
        <v>47925.317304042481</v>
      </c>
      <c r="I83" s="58">
        <f t="shared" si="43"/>
        <v>64041.797347870699</v>
      </c>
      <c r="J83" s="58">
        <f t="shared" si="43"/>
        <v>83544.42482317629</v>
      </c>
      <c r="K83" s="58">
        <f t="shared" si="43"/>
        <v>107043.37989981644</v>
      </c>
      <c r="L83" s="58">
        <f t="shared" si="43"/>
        <v>134416.15848253816</v>
      </c>
      <c r="M83" s="58">
        <f t="shared" si="43"/>
        <v>165776.38208205914</v>
      </c>
      <c r="N83" s="58">
        <f t="shared" si="43"/>
        <v>201224.44186158595</v>
      </c>
    </row>
    <row r="85" spans="1:14" ht="15" customHeight="1" x14ac:dyDescent="0.45">
      <c r="A85" s="59" t="s">
        <v>2</v>
      </c>
      <c r="B85" s="25" t="s">
        <v>297</v>
      </c>
    </row>
    <row r="86" spans="1:14" ht="15" customHeight="1" x14ac:dyDescent="0.45">
      <c r="B86" s="9" t="s">
        <v>298</v>
      </c>
      <c r="D86" s="41">
        <f>RevBuild!D9*Assumptions!D38+Assumptions!D39</f>
        <v>569.85349999999994</v>
      </c>
      <c r="E86" s="41">
        <f>RevBuild!E9*Assumptions!E38+Assumptions!E39</f>
        <v>1014.4295000000001</v>
      </c>
      <c r="F86" s="41">
        <f>RevBuild!F9*Assumptions!F38+Assumptions!F39</f>
        <v>1530.6</v>
      </c>
      <c r="G86" s="41">
        <f>RevBuild!G9*Assumptions!G38+Assumptions!G39</f>
        <v>2095.8000000000002</v>
      </c>
      <c r="H86" s="41">
        <f>RevBuild!H9*Assumptions!H38+Assumptions!H39</f>
        <v>2679</v>
      </c>
      <c r="I86" s="41">
        <f>RevBuild!I9*Assumptions!I38+Assumptions!I39</f>
        <v>3253.2000000000003</v>
      </c>
      <c r="J86" s="41">
        <f>RevBuild!J9*Assumptions!J38+Assumptions!J39</f>
        <v>3809.3</v>
      </c>
      <c r="K86" s="41">
        <f>RevBuild!K9*Assumptions!K38+Assumptions!K39</f>
        <v>4354</v>
      </c>
      <c r="L86" s="41">
        <f>RevBuild!L9*Assumptions!L38+Assumptions!L39</f>
        <v>4870.2</v>
      </c>
      <c r="M86" s="41">
        <f>RevBuild!M9*Assumptions!M38+Assumptions!M39</f>
        <v>5359</v>
      </c>
      <c r="N86" s="41">
        <f>RevBuild!N9*Assumptions!N38+Assumptions!N39</f>
        <v>5814.55</v>
      </c>
    </row>
    <row r="87" spans="1:14" ht="15" customHeight="1" x14ac:dyDescent="0.45">
      <c r="B87" s="9" t="s">
        <v>299</v>
      </c>
      <c r="D87" s="34">
        <v>154</v>
      </c>
      <c r="E87" s="41">
        <f>(E49+D49)/2*Assumptions!E42</f>
        <v>370.42500000000001</v>
      </c>
      <c r="F87" s="41">
        <f>(F49+E49)/2*Assumptions!F42</f>
        <v>637.34</v>
      </c>
      <c r="G87" s="41">
        <f>(G49+F49)/2*Assumptions!G42</f>
        <v>863.995</v>
      </c>
      <c r="H87" s="41">
        <f>(H49+G49)/2*Assumptions!H42</f>
        <v>1064.58</v>
      </c>
      <c r="I87" s="41">
        <f>(I49+H49)/2*Assumptions!I42</f>
        <v>1245.42</v>
      </c>
      <c r="J87" s="41">
        <f>(J49+I49)/2*Assumptions!J42</f>
        <v>1406.5150000000001</v>
      </c>
      <c r="K87" s="41">
        <f>(K49+J49)/2*Assumptions!K42</f>
        <v>1547.92</v>
      </c>
      <c r="L87" s="41">
        <f>(L49+K49)/2*Assumptions!L42</f>
        <v>1669.69</v>
      </c>
      <c r="M87" s="41">
        <f>(M49+L49)/2*Assumptions!M42</f>
        <v>1771.9349999999999</v>
      </c>
      <c r="N87" s="41">
        <f>(N49+M49)/2*Assumptions!N42</f>
        <v>1854.71</v>
      </c>
    </row>
    <row r="88" spans="1:14" ht="15" customHeight="1" x14ac:dyDescent="0.45">
      <c r="B88" s="9" t="s">
        <v>300</v>
      </c>
      <c r="D88" s="41">
        <f t="shared" ref="D88:N88" si="44">D86-D87</f>
        <v>415.85349999999994</v>
      </c>
      <c r="E88" s="41">
        <f t="shared" si="44"/>
        <v>644.00450000000001</v>
      </c>
      <c r="F88" s="41">
        <f t="shared" si="44"/>
        <v>893.25999999999988</v>
      </c>
      <c r="G88" s="41">
        <f t="shared" si="44"/>
        <v>1231.8050000000003</v>
      </c>
      <c r="H88" s="41">
        <f t="shared" si="44"/>
        <v>1614.42</v>
      </c>
      <c r="I88" s="41">
        <f t="shared" si="44"/>
        <v>2007.7800000000002</v>
      </c>
      <c r="J88" s="41">
        <f t="shared" si="44"/>
        <v>2402.7849999999999</v>
      </c>
      <c r="K88" s="41">
        <f t="shared" si="44"/>
        <v>2806.08</v>
      </c>
      <c r="L88" s="41">
        <f t="shared" si="44"/>
        <v>3200.5099999999998</v>
      </c>
      <c r="M88" s="41">
        <f t="shared" si="44"/>
        <v>3587.0650000000001</v>
      </c>
      <c r="N88" s="41">
        <f t="shared" si="44"/>
        <v>3959.84</v>
      </c>
    </row>
    <row r="89" spans="1:14" ht="15" customHeight="1" x14ac:dyDescent="0.45">
      <c r="B89" s="9" t="s">
        <v>301</v>
      </c>
      <c r="E89" s="41">
        <f t="shared" ref="E89:N89" si="45">E49-D49+E88</f>
        <v>3289.0045</v>
      </c>
      <c r="F89" s="41">
        <f t="shared" si="45"/>
        <v>3101.2599999999998</v>
      </c>
      <c r="G89" s="41">
        <f t="shared" si="45"/>
        <v>3144.8050000000003</v>
      </c>
      <c r="H89" s="41">
        <f t="shared" si="45"/>
        <v>3348.42</v>
      </c>
      <c r="I89" s="41">
        <f t="shared" si="45"/>
        <v>3561.78</v>
      </c>
      <c r="J89" s="41">
        <f t="shared" si="45"/>
        <v>3777.7849999999999</v>
      </c>
      <c r="K89" s="41">
        <f t="shared" si="45"/>
        <v>4002.08</v>
      </c>
      <c r="L89" s="41">
        <f t="shared" si="45"/>
        <v>4218.51</v>
      </c>
      <c r="M89" s="41">
        <f t="shared" si="45"/>
        <v>4428.0650000000005</v>
      </c>
      <c r="N89" s="41">
        <f t="shared" si="45"/>
        <v>4623.84</v>
      </c>
    </row>
    <row r="90" spans="1:14" ht="15" customHeight="1" x14ac:dyDescent="0.45">
      <c r="B90" s="9" t="s">
        <v>302</v>
      </c>
      <c r="D90" s="34">
        <v>420</v>
      </c>
      <c r="E90" s="41">
        <f t="shared" ref="E90:N90" si="46">D40+E89-E40</f>
        <v>1040.5045</v>
      </c>
      <c r="F90" s="41">
        <f t="shared" si="46"/>
        <v>1224.46</v>
      </c>
      <c r="G90" s="41">
        <f t="shared" si="46"/>
        <v>1518.7550000000001</v>
      </c>
      <c r="H90" s="41">
        <f t="shared" si="46"/>
        <v>1874.5200000000004</v>
      </c>
      <c r="I90" s="41">
        <f t="shared" si="46"/>
        <v>2240.880000000001</v>
      </c>
      <c r="J90" s="41">
        <f t="shared" si="46"/>
        <v>2609.0349999999999</v>
      </c>
      <c r="K90" s="41">
        <f t="shared" si="46"/>
        <v>2985.4799999999996</v>
      </c>
      <c r="L90" s="41">
        <f t="shared" si="46"/>
        <v>3353.2100000000028</v>
      </c>
      <c r="M90" s="41">
        <f t="shared" si="46"/>
        <v>3713.2149999999983</v>
      </c>
      <c r="N90" s="41">
        <f t="shared" si="46"/>
        <v>4059.4399999999987</v>
      </c>
    </row>
    <row r="91" spans="1:14" ht="15" customHeight="1" x14ac:dyDescent="0.45">
      <c r="B91" s="9" t="s">
        <v>303</v>
      </c>
      <c r="D91" s="34">
        <v>193</v>
      </c>
      <c r="E91" s="41">
        <f>(D39+0.5*-E77)*Assumptions!E46</f>
        <v>284.71602029000002</v>
      </c>
      <c r="F91" s="41">
        <f>(E39+0.5*-F77)*Assumptions!F46</f>
        <v>460.46700533360001</v>
      </c>
      <c r="G91" s="41">
        <f>(F39+0.5*-G77)*Assumptions!G46</f>
        <v>649.91369696022412</v>
      </c>
      <c r="H91" s="41">
        <f>(G39+0.5*-H77)*Assumptions!H46</f>
        <v>847.44573698818817</v>
      </c>
      <c r="I91" s="41">
        <f>(H39+0.5*-I77)*Assumptions!I46</f>
        <v>1047.2580518082382</v>
      </c>
      <c r="J91" s="41">
        <f>(I39+0.5*-J77)*Assumptions!J46</f>
        <v>1246.7182430737544</v>
      </c>
      <c r="K91" s="41">
        <f>(J39+0.5*-K77)*Assumptions!K46</f>
        <v>1441.9657770419017</v>
      </c>
      <c r="L91" s="41">
        <f>(K39+0.5*-L77)*Assumptions!L46</f>
        <v>1630.6289317814471</v>
      </c>
      <c r="M91" s="41">
        <f>(L39+0.5*-M77)*Assumptions!M46</f>
        <v>1809.5996149189323</v>
      </c>
      <c r="N91" s="41">
        <f>(M39+0.5*-N77)*Assumptions!N46</f>
        <v>1975.6650768315747</v>
      </c>
    </row>
    <row r="92" spans="1:14" ht="15" customHeight="1" x14ac:dyDescent="0.45">
      <c r="B92" s="5" t="s">
        <v>304</v>
      </c>
      <c r="D92" s="58">
        <f t="shared" ref="D92:N92" si="47">D35-D49</f>
        <v>16812</v>
      </c>
      <c r="E92" s="58">
        <f t="shared" si="47"/>
        <v>18911.496592589861</v>
      </c>
      <c r="F92" s="58">
        <f t="shared" si="47"/>
        <v>21407.003884720194</v>
      </c>
      <c r="G92" s="58">
        <f t="shared" si="47"/>
        <v>27159.137174083109</v>
      </c>
      <c r="H92" s="58">
        <f t="shared" si="47"/>
        <v>37380.317304042481</v>
      </c>
      <c r="I92" s="58">
        <f t="shared" si="47"/>
        <v>51942.797347870699</v>
      </c>
      <c r="J92" s="58">
        <f t="shared" si="47"/>
        <v>70070.42482317629</v>
      </c>
      <c r="K92" s="58">
        <f t="shared" si="47"/>
        <v>92373.379899816442</v>
      </c>
      <c r="L92" s="58">
        <f t="shared" si="47"/>
        <v>118728.15848253816</v>
      </c>
      <c r="M92" s="58">
        <f t="shared" si="47"/>
        <v>149247.38208205914</v>
      </c>
      <c r="N92" s="58">
        <f t="shared" si="47"/>
        <v>184031.44186158595</v>
      </c>
    </row>
    <row r="93" spans="1:14" ht="15" customHeight="1" x14ac:dyDescent="0.45">
      <c r="B93" s="9" t="s">
        <v>305</v>
      </c>
      <c r="D93" s="41">
        <f t="shared" ref="D93:N93" si="48">D35</f>
        <v>18857</v>
      </c>
      <c r="E93" s="41">
        <f t="shared" si="48"/>
        <v>23601.496592589861</v>
      </c>
      <c r="F93" s="41">
        <f t="shared" si="48"/>
        <v>28305.003884720194</v>
      </c>
      <c r="G93" s="41">
        <f t="shared" si="48"/>
        <v>35970.137174083109</v>
      </c>
      <c r="H93" s="41">
        <f t="shared" si="48"/>
        <v>47925.317304042481</v>
      </c>
      <c r="I93" s="41">
        <f t="shared" si="48"/>
        <v>64041.797347870699</v>
      </c>
      <c r="J93" s="41">
        <f t="shared" si="48"/>
        <v>83544.42482317629</v>
      </c>
      <c r="K93" s="41">
        <f t="shared" si="48"/>
        <v>107043.37989981644</v>
      </c>
      <c r="L93" s="41">
        <f t="shared" si="48"/>
        <v>134416.15848253816</v>
      </c>
      <c r="M93" s="41">
        <f t="shared" si="48"/>
        <v>165776.38208205914</v>
      </c>
      <c r="N93" s="41">
        <f t="shared" si="48"/>
        <v>201224.44186158595</v>
      </c>
    </row>
    <row r="94" spans="1:14" ht="15" customHeight="1" x14ac:dyDescent="0.45">
      <c r="B94" s="9" t="s">
        <v>306</v>
      </c>
      <c r="E94" s="41">
        <f>D35+0.5*(E19*(1-Assumptions!E56)+E77+E79)</f>
        <v>18194.648943062501</v>
      </c>
      <c r="F94" s="41">
        <f>E35+0.5*(F19*(1-Assumptions!F56)+F77+F79)</f>
        <v>23755.100810589862</v>
      </c>
      <c r="G94" s="41">
        <f>F35+0.5*(G19*(1-Assumptions!G56)+G77+G79)</f>
        <v>29708.329547520192</v>
      </c>
      <c r="H94" s="41">
        <f>G35+0.5*(H19*(1-Assumptions!H56)+H77+H79)</f>
        <v>38974.78014510811</v>
      </c>
      <c r="I94" s="41">
        <f>H35+0.5*(I19*(1-Assumptions!I56)+I77+I79)</f>
        <v>52409.683523974913</v>
      </c>
      <c r="J94" s="41">
        <f>I35+0.5*(J19*(1-Assumptions!J56)+J77+J79)</f>
        <v>69590.911039318496</v>
      </c>
      <c r="K94" s="41">
        <f>J35+0.5*(K19*(1-Assumptions!K56)+K77+K79)</f>
        <v>90376.341958832068</v>
      </c>
      <c r="L94" s="41">
        <f>K35+0.5*(L19*(1-Assumptions!L56)+L77+L79)</f>
        <v>115004.7106761605</v>
      </c>
      <c r="M94" s="41">
        <f>L35+0.5*(M19*(1-Assumptions!M56)+M77+M79)</f>
        <v>143482.45707230063</v>
      </c>
      <c r="N94" s="41">
        <f>M35+0.5*(N19*(1-Assumptions!N56)+N77+N79)</f>
        <v>175915.2734521573</v>
      </c>
    </row>
    <row r="95" spans="1:14" x14ac:dyDescent="0.45">
      <c r="B95" s="24"/>
    </row>
  </sheetData>
  <pageMargins left="0.75" right="0.75" top="1" bottom="1" header="0.511811023622047" footer="0.511811023622047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2937"/>
    <pageSetUpPr fitToPage="1"/>
  </sheetPr>
  <dimension ref="A1:N44"/>
  <sheetViews>
    <sheetView showGridLines="0" zoomScale="77" zoomScaleNormal="100" workbookViewId="0">
      <pane xSplit="3" ySplit="4" topLeftCell="D14" activePane="bottomRight" state="frozen"/>
      <selection pane="topRight" activeCell="D1" sqref="D1"/>
      <selection pane="bottomLeft" activeCell="A6" sqref="A6"/>
      <selection pane="bottomRight" activeCell="E30" sqref="E30"/>
    </sheetView>
  </sheetViews>
  <sheetFormatPr defaultColWidth="8.6640625" defaultRowHeight="14.25" x14ac:dyDescent="0.45"/>
  <cols>
    <col min="1" max="1" width="3.9296875" style="61" customWidth="1"/>
    <col min="2" max="2" width="56" customWidth="1"/>
    <col min="3" max="3" width="11" customWidth="1"/>
    <col min="4" max="14" width="13" customWidth="1"/>
  </cols>
  <sheetData>
    <row r="1" spans="1:14" ht="15" customHeight="1" x14ac:dyDescent="0.45">
      <c r="B1" s="47"/>
    </row>
    <row r="2" spans="1:14" ht="19.5" customHeight="1" x14ac:dyDescent="0.45">
      <c r="B2" s="1" t="s">
        <v>307</v>
      </c>
    </row>
    <row r="4" spans="1:14" ht="15" customHeight="1" x14ac:dyDescent="0.45">
      <c r="A4" s="61" t="s">
        <v>2</v>
      </c>
      <c r="B4" s="3" t="s">
        <v>308</v>
      </c>
      <c r="C4" s="12" t="s">
        <v>49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27</v>
      </c>
      <c r="I4" s="12" t="s">
        <v>148</v>
      </c>
      <c r="J4" s="12" t="s">
        <v>149</v>
      </c>
      <c r="K4" s="12" t="s">
        <v>150</v>
      </c>
      <c r="L4" s="12" t="s">
        <v>151</v>
      </c>
      <c r="M4" s="12" t="s">
        <v>152</v>
      </c>
      <c r="N4" s="12" t="s">
        <v>153</v>
      </c>
    </row>
    <row r="5" spans="1:14" ht="15" customHeight="1" x14ac:dyDescent="0.45">
      <c r="A5" s="61" t="s">
        <v>2</v>
      </c>
      <c r="B5" s="25" t="s">
        <v>309</v>
      </c>
    </row>
    <row r="6" spans="1:14" ht="15" customHeight="1" x14ac:dyDescent="0.45">
      <c r="B6" s="9" t="s">
        <v>310</v>
      </c>
      <c r="D6" s="90">
        <f>Model!D9/Model!D6</f>
        <v>0.73063171529717008</v>
      </c>
      <c r="E6" s="90">
        <f>Model!E9/Model!E6</f>
        <v>0.42398025783579441</v>
      </c>
      <c r="F6" s="90">
        <f>Model!F9/Model!F6</f>
        <v>0.32729237369031949</v>
      </c>
      <c r="G6" s="90">
        <f>Model!G9/Model!G6</f>
        <v>0.31336164014315554</v>
      </c>
      <c r="H6" s="90">
        <f>Model!H9/Model!H6</f>
        <v>0.3049247016743708</v>
      </c>
      <c r="I6" s="90">
        <f>Model!I9/Model!I6</f>
        <v>0.29977183524808843</v>
      </c>
      <c r="J6" s="90">
        <f>Model!J9/Model!J6</f>
        <v>0.2954278314998165</v>
      </c>
      <c r="K6" s="90">
        <f>Model!K9/Model!K6</f>
        <v>0.29263299598460124</v>
      </c>
      <c r="L6" s="90">
        <f>Model!L9/Model!L6</f>
        <v>0.29099637090109537</v>
      </c>
      <c r="M6" s="90">
        <f>Model!M9/Model!M6</f>
        <v>0.29017886997335179</v>
      </c>
      <c r="N6" s="90">
        <f>Model!N9/Model!N6</f>
        <v>0.29027590472796266</v>
      </c>
    </row>
    <row r="7" spans="1:14" ht="15" customHeight="1" x14ac:dyDescent="0.45">
      <c r="B7" s="9" t="s">
        <v>311</v>
      </c>
      <c r="D7" s="90">
        <f>Model!D19/RevBuild!D42</f>
        <v>1.2296311886076647E-2</v>
      </c>
      <c r="E7" s="90">
        <f>Model!E19/RevBuild!E42</f>
        <v>1.1910255868404851E-2</v>
      </c>
      <c r="F7" s="90">
        <f>Model!F19/RevBuild!F42</f>
        <v>2.8585351017509621E-2</v>
      </c>
      <c r="G7" s="90">
        <f>Model!G19/RevBuild!G42</f>
        <v>4.0586570382305454E-2</v>
      </c>
      <c r="H7" s="90">
        <f>Model!H19/RevBuild!H42</f>
        <v>4.9657539250413697E-2</v>
      </c>
      <c r="I7" s="90">
        <f>Model!I19/RevBuild!I42</f>
        <v>5.6975675111377883E-2</v>
      </c>
      <c r="J7" s="90">
        <f>Model!J19/RevBuild!J42</f>
        <v>6.0678650201781023E-2</v>
      </c>
      <c r="K7" s="90">
        <f>Model!K19/RevBuild!K42</f>
        <v>6.336390882706161E-2</v>
      </c>
      <c r="L7" s="90">
        <f>Model!L19/RevBuild!L42</f>
        <v>6.493787165593537E-2</v>
      </c>
      <c r="M7" s="90">
        <f>Model!M19/RevBuild!M42</f>
        <v>6.655753387478687E-2</v>
      </c>
      <c r="N7" s="90">
        <f>Model!N19/RevBuild!N42</f>
        <v>6.8219333539006E-2</v>
      </c>
    </row>
    <row r="8" spans="1:14" ht="15" customHeight="1" x14ac:dyDescent="0.45">
      <c r="B8" s="9" t="s">
        <v>312</v>
      </c>
      <c r="D8" s="90">
        <f>Model!D22/Model!D6</f>
        <v>3.1509307395975079E-2</v>
      </c>
      <c r="E8" s="90">
        <f>Model!E22/Model!E6</f>
        <v>2.4820381560627235E-2</v>
      </c>
      <c r="F8" s="90">
        <f>Model!F22/Model!F6</f>
        <v>4.8690019631709471E-2</v>
      </c>
      <c r="G8" s="90">
        <f>Model!G22/Model!G6</f>
        <v>6.5580635989192684E-2</v>
      </c>
      <c r="H8" s="90">
        <f>Model!H22/Model!H6</f>
        <v>7.733755335696918E-2</v>
      </c>
      <c r="I8" s="90">
        <f>Model!I22/Model!I6</f>
        <v>8.6453802869779925E-2</v>
      </c>
      <c r="J8" s="90">
        <f>Model!J22/Model!J6</f>
        <v>9.0892894210081718E-2</v>
      </c>
      <c r="K8" s="90">
        <f>Model!K22/Model!K6</f>
        <v>9.4246578253496582E-2</v>
      </c>
      <c r="L8" s="90">
        <f>Model!L22/Model!L6</f>
        <v>9.6246166471848305E-2</v>
      </c>
      <c r="M8" s="90">
        <f>Model!M22/Model!M6</f>
        <v>9.8422520192971555E-2</v>
      </c>
      <c r="N8" s="90">
        <f>Model!N22/Model!N6</f>
        <v>0.10083059452893987</v>
      </c>
    </row>
    <row r="9" spans="1:14" ht="15" customHeight="1" x14ac:dyDescent="0.45">
      <c r="B9" s="9" t="s">
        <v>313</v>
      </c>
      <c r="D9" s="90">
        <f>Model!D25/Model!D6</f>
        <v>-1.1125389053813328E-2</v>
      </c>
      <c r="E9" s="90">
        <f>Model!E25/Model!E6</f>
        <v>-4.1756901487528331E-3</v>
      </c>
      <c r="F9" s="90">
        <f>Model!F25/Model!F6</f>
        <v>2.8663228669401176E-2</v>
      </c>
      <c r="G9" s="90">
        <f>Model!G25/Model!G6</f>
        <v>4.8010760948102242E-2</v>
      </c>
      <c r="H9" s="90">
        <f>Model!H25/Model!H6</f>
        <v>6.0997828238314115E-2</v>
      </c>
      <c r="I9" s="90">
        <f>Model!I25/Model!I6</f>
        <v>7.0856497385333617E-2</v>
      </c>
      <c r="J9" s="90">
        <f>Model!J25/Model!J6</f>
        <v>7.5841152288541339E-2</v>
      </c>
      <c r="K9" s="90">
        <f>Model!K25/Model!K6</f>
        <v>7.9687612903656599E-2</v>
      </c>
      <c r="L9" s="90">
        <f>Model!L25/Model!L6</f>
        <v>8.1650470924812729E-2</v>
      </c>
      <c r="M9" s="90">
        <f>Model!M25/Model!M6</f>
        <v>8.3701100685824856E-2</v>
      </c>
      <c r="N9" s="90">
        <f>Model!N25/Model!N6</f>
        <v>8.5918017847810779E-2</v>
      </c>
    </row>
    <row r="10" spans="1:14" ht="15" customHeight="1" x14ac:dyDescent="0.45">
      <c r="B10" s="9" t="s">
        <v>314</v>
      </c>
      <c r="D10" s="90">
        <f>Model!D30/Model!D6</f>
        <v>2.6061951606840824E-2</v>
      </c>
      <c r="E10" s="90">
        <f>Model!E30/Model!E6</f>
        <v>7.0046220868428934E-3</v>
      </c>
      <c r="F10" s="90">
        <f>Model!F30/Model!F6</f>
        <v>2.6784074893611887E-2</v>
      </c>
      <c r="G10" s="90">
        <f>Model!G30/Model!G6</f>
        <v>4.3340920188553782E-2</v>
      </c>
      <c r="H10" s="90">
        <f>Model!H30/Model!H6</f>
        <v>5.6292123369468212E-2</v>
      </c>
      <c r="I10" s="90">
        <f>Model!I30/Model!I6</f>
        <v>6.3805551264564067E-2</v>
      </c>
      <c r="J10" s="90">
        <f>Model!J30/Model!J6</f>
        <v>6.6580132168165232E-2</v>
      </c>
      <c r="K10" s="90">
        <f>Model!K30/Model!K6</f>
        <v>7.1388355204640694E-2</v>
      </c>
      <c r="L10" s="90">
        <f>Model!L30/Model!L6</f>
        <v>7.5082060593638519E-2</v>
      </c>
      <c r="M10" s="90">
        <f>Model!M30/Model!M6</f>
        <v>7.9132887472293981E-2</v>
      </c>
      <c r="N10" s="90">
        <f>Model!N30/Model!N6</f>
        <v>8.3632105627953729E-2</v>
      </c>
    </row>
    <row r="11" spans="1:14" ht="15" customHeight="1" x14ac:dyDescent="0.45">
      <c r="B11" s="9" t="s">
        <v>315</v>
      </c>
      <c r="D11" s="96"/>
      <c r="E11" s="90">
        <f>Model!E30/((Model!E53+Model!D53)/2)</f>
        <v>1.2387607745477881E-2</v>
      </c>
      <c r="F11" s="90">
        <f>Model!F30/((Model!F53+Model!E53)/2)</f>
        <v>7.7092436537400361E-2</v>
      </c>
      <c r="G11" s="90">
        <f>Model!G30/((Model!G53+Model!F53)/2)</f>
        <v>0.15252823030683543</v>
      </c>
      <c r="H11" s="90">
        <f>Model!H30/((Model!H53+Model!G53)/2)</f>
        <v>0.21198053987043075</v>
      </c>
      <c r="I11" s="90">
        <f>Model!I30/((Model!I53+Model!H53)/2)</f>
        <v>0.2346156783250534</v>
      </c>
      <c r="J11" s="90">
        <f>Model!J30/((Model!J53+Model!I53)/2)</f>
        <v>0.22784199916707459</v>
      </c>
      <c r="K11" s="90">
        <f>Model!K30/((Model!K53+Model!J53)/2)</f>
        <v>0.22195207580541987</v>
      </c>
      <c r="L11" s="90">
        <f>Model!L30/((Model!L53+Model!K53)/2)</f>
        <v>0.20908038580078928</v>
      </c>
      <c r="M11" s="90">
        <f>Model!M30/((Model!M53+Model!L53)/2)</f>
        <v>0.19599649115822532</v>
      </c>
      <c r="N11" s="90">
        <f>Model!N30/((Model!N53+Model!M53)/2)</f>
        <v>0.18347708637757079</v>
      </c>
    </row>
    <row r="12" spans="1:14" ht="15" customHeight="1" x14ac:dyDescent="0.45">
      <c r="B12" s="9" t="s">
        <v>316</v>
      </c>
      <c r="D12" s="96"/>
      <c r="E12" s="90">
        <f>Model!E25/((Model!E53+Model!E49+Model!D53+Model!D49)/2)</f>
        <v>-6.6592551957580853E-3</v>
      </c>
      <c r="F12" s="90">
        <f>Model!F25/((Model!F53+Model!F49+Model!E53+Model!E49)/2)</f>
        <v>7.0249022498442379E-2</v>
      </c>
      <c r="G12" s="90">
        <f>Model!G25/((Model!G53+Model!G49+Model!F53+Model!F49)/2)</f>
        <v>0.14021350359062776</v>
      </c>
      <c r="H12" s="90">
        <f>Model!H25/((Model!H53+Model!H49+Model!G53+Model!G49)/2)</f>
        <v>0.1905908579601456</v>
      </c>
      <c r="I12" s="90">
        <f>Model!I25/((Model!I53+Model!I49+Model!H53+Model!H49)/2)</f>
        <v>0.21930374960505408</v>
      </c>
      <c r="J12" s="90">
        <f>Model!J25/((Model!J53+Model!J49+Model!I53+Model!I49)/2)</f>
        <v>0.22261057871302151</v>
      </c>
      <c r="K12" s="90">
        <f>Model!K25/((Model!K53+Model!K49+Model!J53+Model!J49)/2)</f>
        <v>0.21659411473199941</v>
      </c>
      <c r="L12" s="90">
        <f>Model!L25/((Model!L53+Model!L49+Model!K53+Model!K49)/2)</f>
        <v>0.20232573905900153</v>
      </c>
      <c r="M12" s="90">
        <f>Model!M25/((Model!M53+Model!M49+Model!L53+Model!L49)/2)</f>
        <v>0.18738295942933092</v>
      </c>
      <c r="N12" s="90">
        <f>Model!N25/((Model!N53+Model!N49+Model!M53+Model!M49)/2)</f>
        <v>0.17270620789189348</v>
      </c>
    </row>
    <row r="13" spans="1:14" ht="15" customHeight="1" x14ac:dyDescent="0.45">
      <c r="B13" s="9" t="s">
        <v>317</v>
      </c>
      <c r="D13" s="90">
        <f>Model!D25*(1-Assumptions!D56)/(Model!D53+Model!D49-Model!D35)</f>
        <v>-1.260636956403554E-2</v>
      </c>
      <c r="E13" s="90">
        <f>Model!E25*(1-Assumptions!E56)/(Model!E53+Model!E49-Model!E35)</f>
        <v>-9.0600743902172765E-3</v>
      </c>
      <c r="F13" s="90">
        <f>Model!F25*(1-Assumptions!F56)/(Model!F53+Model!F49-Model!F35)</f>
        <v>0.13780663889116657</v>
      </c>
      <c r="G13" s="90">
        <f>Model!G25*(1-Assumptions!G56)/(Model!G53+Model!G49-Model!G35)</f>
        <v>0.33867014685537289</v>
      </c>
      <c r="H13" s="90">
        <f>Model!H25*(1-Assumptions!H56)/(Model!H53+Model!H49-Model!H35)</f>
        <v>0.56788750889725437</v>
      </c>
      <c r="I13" s="90">
        <f>Model!I25*(1-Assumptions!I56)/(Model!I53+Model!I49-Model!I35)</f>
        <v>0.77272357491092702</v>
      </c>
      <c r="J13" s="90">
        <f>Model!J25*(1-Assumptions!J56)/(Model!J53+Model!J49-Model!J35)</f>
        <v>0.91672627184805344</v>
      </c>
      <c r="K13" s="90">
        <f>Model!K25*(1-Assumptions!K56)/(Model!K53+Model!K49-Model!K35)</f>
        <v>1.0763125209613911</v>
      </c>
      <c r="L13" s="90">
        <f>Model!L25*(1-Assumptions!L56)/(Model!L53+Model!L49-Model!L35)</f>
        <v>1.2065865090230321</v>
      </c>
      <c r="M13" s="90">
        <f>Model!M25*(1-Assumptions!M56)/(Model!M53+Model!M49-Model!M35)</f>
        <v>1.3298833938067285</v>
      </c>
      <c r="N13" s="90">
        <f>Model!N25*(1-Assumptions!N56)/(Model!N53+Model!N49-Model!N35)</f>
        <v>1.4462723052734061</v>
      </c>
    </row>
    <row r="14" spans="1:14" ht="15" customHeight="1" x14ac:dyDescent="0.45">
      <c r="B14" s="9" t="s">
        <v>318</v>
      </c>
      <c r="D14" s="90">
        <f>Model!D41/(Model!D53+Model!D49-Model!D35)</f>
        <v>0.42947056645686782</v>
      </c>
      <c r="E14" s="90">
        <f>Model!E41/(Model!E53+Model!E49-Model!E35)</f>
        <v>0.46037418965733362</v>
      </c>
      <c r="F14" s="90">
        <f>Model!F41/(Model!F53+Model!F49-Model!F35)</f>
        <v>0.42886761602274176</v>
      </c>
      <c r="G14" s="90">
        <f>Model!G41/(Model!G53+Model!G49-Model!G35)</f>
        <v>0.39931633832699281</v>
      </c>
      <c r="H14" s="90">
        <f>Model!H41/(Model!H53+Model!H49-Model!H35)</f>
        <v>0.38004796876741609</v>
      </c>
      <c r="I14" s="90">
        <f>Model!I41/(Model!I53+Model!I49-Model!I35)</f>
        <v>0.36628025670531417</v>
      </c>
      <c r="J14" s="90">
        <f>Model!J41/(Model!J53+Model!J49-Model!J35)</f>
        <v>0.35514104412719316</v>
      </c>
      <c r="K14" s="90">
        <f>Model!K41/(Model!K53+Model!K49-Model!K35)</f>
        <v>0.34425248568705336</v>
      </c>
      <c r="L14" s="90">
        <f>Model!L41/(Model!L53+Model!L49-Model!L35)</f>
        <v>0.3354384302571185</v>
      </c>
      <c r="M14" s="90">
        <f>Model!M41/(Model!M53+Model!M49-Model!M35)</f>
        <v>0.32826445981211011</v>
      </c>
      <c r="N14" s="90">
        <f>Model!N41/(Model!N53+Model!N49-Model!N35)</f>
        <v>0.3223932371278595</v>
      </c>
    </row>
    <row r="15" spans="1:14" ht="15" customHeight="1" x14ac:dyDescent="0.45">
      <c r="A15" s="61" t="s">
        <v>2</v>
      </c>
      <c r="B15" s="25" t="s">
        <v>319</v>
      </c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</row>
    <row r="16" spans="1:14" ht="15" customHeight="1" x14ac:dyDescent="0.45">
      <c r="B16" s="9" t="s">
        <v>320</v>
      </c>
      <c r="D16" s="96"/>
      <c r="E16" s="90">
        <f>Model!E30/Model!E6</f>
        <v>7.0046220868428934E-3</v>
      </c>
      <c r="F16" s="90">
        <f>Model!F30/Model!F6</f>
        <v>2.6784074893611887E-2</v>
      </c>
      <c r="G16" s="90">
        <f>Model!G30/Model!G6</f>
        <v>4.3340920188553782E-2</v>
      </c>
      <c r="H16" s="90">
        <f>Model!H30/Model!H6</f>
        <v>5.6292123369468212E-2</v>
      </c>
      <c r="I16" s="90">
        <f>Model!I30/Model!I6</f>
        <v>6.3805551264564067E-2</v>
      </c>
      <c r="J16" s="90">
        <f>Model!J30/Model!J6</f>
        <v>6.6580132168165232E-2</v>
      </c>
      <c r="K16" s="90">
        <f>Model!K30/Model!K6</f>
        <v>7.1388355204640694E-2</v>
      </c>
      <c r="L16" s="90">
        <f>Model!L30/Model!L6</f>
        <v>7.5082060593638519E-2</v>
      </c>
      <c r="M16" s="90">
        <f>Model!M30/Model!M6</f>
        <v>7.9132887472293981E-2</v>
      </c>
      <c r="N16" s="90">
        <f>Model!N30/Model!N6</f>
        <v>8.3632105627953729E-2</v>
      </c>
    </row>
    <row r="17" spans="1:14" ht="15" customHeight="1" x14ac:dyDescent="0.45">
      <c r="B17" s="9" t="s">
        <v>321</v>
      </c>
      <c r="D17" s="96"/>
      <c r="E17" s="97">
        <f>Model!E6/((Model!E44+Model!D44)/2)</f>
        <v>1.3904236180454597</v>
      </c>
      <c r="F17" s="97">
        <f>Model!F6/((Model!F44+Model!E44)/2)</f>
        <v>1.9669628982689635</v>
      </c>
      <c r="G17" s="97">
        <f>Model!G6/((Model!G44+Model!F44)/2)</f>
        <v>2.20736510659713</v>
      </c>
      <c r="H17" s="97">
        <f>Model!H6/((Model!H44+Model!G44)/2)</f>
        <v>2.304941506556522</v>
      </c>
      <c r="I17" s="97">
        <f>Model!I6/((Model!I44+Model!H44)/2)</f>
        <v>2.274420412958249</v>
      </c>
      <c r="J17" s="97">
        <f>Model!J6/((Model!J44+Model!I44)/2)</f>
        <v>2.1754079939023647</v>
      </c>
      <c r="K17" s="97">
        <f>Model!K6/((Model!K44+Model!J44)/2)</f>
        <v>2.0459202825069904</v>
      </c>
      <c r="L17" s="97">
        <f>Model!L6/((Model!L44+Model!K44)/2)</f>
        <v>1.9013980411614222</v>
      </c>
      <c r="M17" s="97">
        <f>Model!M6/((Model!M44+Model!L44)/2)</f>
        <v>1.7534687890477709</v>
      </c>
      <c r="N17" s="97">
        <f>Model!N6/((Model!N44+Model!M44)/2)</f>
        <v>1.6074017052697385</v>
      </c>
    </row>
    <row r="18" spans="1:14" ht="15" customHeight="1" x14ac:dyDescent="0.45">
      <c r="B18" s="9" t="s">
        <v>322</v>
      </c>
      <c r="D18" s="96"/>
      <c r="E18" s="97">
        <f>((Model!E44+Model!D44)/2)/((Model!E53+Model!D53)/2)</f>
        <v>1.2719077088712842</v>
      </c>
      <c r="F18" s="97">
        <f>((Model!F44+Model!E44)/2)/((Model!F53+Model!E53)/2)</f>
        <v>1.4633188029499296</v>
      </c>
      <c r="G18" s="97">
        <f>((Model!G44+Model!F44)/2)/((Model!G53+Model!F53)/2)</f>
        <v>1.594328944379005</v>
      </c>
      <c r="H18" s="97">
        <f>((Model!H44+Model!G44)/2)/((Model!H53+Model!G53)/2)</f>
        <v>1.6337607359724629</v>
      </c>
      <c r="I18" s="97">
        <f>((Model!I44+Model!H44)/2)/((Model!I53+Model!H53)/2)</f>
        <v>1.6166939794183599</v>
      </c>
      <c r="J18" s="97">
        <f>((Model!J44+Model!I44)/2)/((Model!J53+Model!I53)/2)</f>
        <v>1.5730713071889522</v>
      </c>
      <c r="K18" s="97">
        <f>((Model!K44+Model!J44)/2)/((Model!K53+Model!J53)/2)</f>
        <v>1.5196484359703086</v>
      </c>
      <c r="L18" s="97">
        <f>((Model!L44+Model!K44)/2)/((Model!L53+Model!K53)/2)</f>
        <v>1.4645495425379891</v>
      </c>
      <c r="M18" s="97">
        <f>((Model!M44+Model!L44)/2)/((Model!M53+Model!L53)/2)</f>
        <v>1.4125155691964582</v>
      </c>
      <c r="N18" s="97">
        <f>((Model!N44+Model!M44)/2)/((Model!N53+Model!M53)/2)</f>
        <v>1.3648482866647027</v>
      </c>
    </row>
    <row r="19" spans="1:14" ht="15" customHeight="1" x14ac:dyDescent="0.45">
      <c r="B19" s="5" t="s">
        <v>323</v>
      </c>
      <c r="E19" s="62">
        <f t="shared" ref="E19:N19" si="0">E16*E17*E18</f>
        <v>1.2387607745477881E-2</v>
      </c>
      <c r="F19" s="62">
        <f t="shared" si="0"/>
        <v>7.7092436537400361E-2</v>
      </c>
      <c r="G19" s="62">
        <f t="shared" si="0"/>
        <v>0.15252823030683543</v>
      </c>
      <c r="H19" s="62">
        <f t="shared" si="0"/>
        <v>0.21198053987043072</v>
      </c>
      <c r="I19" s="62">
        <f t="shared" si="0"/>
        <v>0.23461567832505337</v>
      </c>
      <c r="J19" s="62">
        <f t="shared" si="0"/>
        <v>0.22784199916707457</v>
      </c>
      <c r="K19" s="62">
        <f t="shared" si="0"/>
        <v>0.22195207580541987</v>
      </c>
      <c r="L19" s="62">
        <f t="shared" si="0"/>
        <v>0.20908038580078928</v>
      </c>
      <c r="M19" s="62">
        <f t="shared" si="0"/>
        <v>0.19599649115822534</v>
      </c>
      <c r="N19" s="62">
        <f t="shared" si="0"/>
        <v>0.18347708637757079</v>
      </c>
    </row>
    <row r="20" spans="1:14" ht="15" customHeight="1" x14ac:dyDescent="0.45">
      <c r="B20" s="5" t="s">
        <v>324</v>
      </c>
      <c r="E20" s="21">
        <f t="shared" ref="E20:N20" si="1">E19-E11</f>
        <v>0</v>
      </c>
      <c r="F20" s="21">
        <f t="shared" si="1"/>
        <v>0</v>
      </c>
      <c r="G20" s="21">
        <f t="shared" si="1"/>
        <v>0</v>
      </c>
      <c r="H20" s="21">
        <f t="shared" si="1"/>
        <v>0</v>
      </c>
      <c r="I20" s="21">
        <f t="shared" si="1"/>
        <v>0</v>
      </c>
      <c r="J20" s="21">
        <f t="shared" si="1"/>
        <v>0</v>
      </c>
      <c r="K20" s="21">
        <f t="shared" si="1"/>
        <v>0</v>
      </c>
      <c r="L20" s="21">
        <f t="shared" si="1"/>
        <v>0</v>
      </c>
      <c r="M20" s="21">
        <f t="shared" si="1"/>
        <v>0</v>
      </c>
      <c r="N20" s="21">
        <f t="shared" si="1"/>
        <v>0</v>
      </c>
    </row>
    <row r="22" spans="1:14" ht="15" customHeight="1" x14ac:dyDescent="0.45">
      <c r="A22" s="61" t="s">
        <v>2</v>
      </c>
      <c r="B22" s="25" t="s">
        <v>325</v>
      </c>
    </row>
    <row r="23" spans="1:14" ht="15" customHeight="1" x14ac:dyDescent="0.45">
      <c r="B23" s="9" t="s">
        <v>326</v>
      </c>
      <c r="D23" s="91">
        <f>Model!D92</f>
        <v>16812</v>
      </c>
      <c r="E23" s="91">
        <f>Model!E92</f>
        <v>18911.496592589861</v>
      </c>
      <c r="F23" s="91">
        <f>Model!F92</f>
        <v>21407.003884720194</v>
      </c>
      <c r="G23" s="91">
        <f>Model!G92</f>
        <v>27159.137174083109</v>
      </c>
      <c r="H23" s="91">
        <f>Model!H92</f>
        <v>37380.317304042481</v>
      </c>
      <c r="I23" s="91">
        <f>Model!I92</f>
        <v>51942.797347870699</v>
      </c>
      <c r="J23" s="91">
        <f>Model!J92</f>
        <v>70070.42482317629</v>
      </c>
      <c r="K23" s="91">
        <f>Model!K92</f>
        <v>92373.379899816442</v>
      </c>
      <c r="L23" s="91">
        <f>Model!L92</f>
        <v>118728.15848253816</v>
      </c>
      <c r="M23" s="91">
        <f>Model!M92</f>
        <v>149247.38208205914</v>
      </c>
      <c r="N23" s="91">
        <f>Model!N92</f>
        <v>184031.44186158595</v>
      </c>
    </row>
    <row r="24" spans="1:14" ht="15" customHeight="1" x14ac:dyDescent="0.45">
      <c r="B24" s="9" t="s">
        <v>327</v>
      </c>
      <c r="D24" s="90">
        <f>Model!D92/Assumptions!$D$8</f>
        <v>7.172989476840444E-2</v>
      </c>
      <c r="E24" s="90">
        <f>Model!E92/Assumptions!$D$8</f>
        <v>8.0687583898376755E-2</v>
      </c>
      <c r="F24" s="90">
        <f>Model!F92/Assumptions!$D$8</f>
        <v>9.1334887934677894E-2</v>
      </c>
      <c r="G24" s="90">
        <f>Model!G92/Assumptions!$D$8</f>
        <v>0.11587687672481814</v>
      </c>
      <c r="H24" s="90">
        <f>Model!H92/Assumptions!$D$8</f>
        <v>0.15948645173855192</v>
      </c>
      <c r="I24" s="90">
        <f>Model!I92/Assumptions!$D$8</f>
        <v>0.22161856933971702</v>
      </c>
      <c r="J24" s="90">
        <f>Model!J92/Assumptions!$D$8</f>
        <v>0.29896170586151738</v>
      </c>
      <c r="K24" s="90">
        <f>Model!K92/Assumptions!$D$8</f>
        <v>0.39411924932284553</v>
      </c>
      <c r="L24" s="90">
        <f>Model!L92/Assumptions!$D$8</f>
        <v>0.50656425850576414</v>
      </c>
      <c r="M24" s="90">
        <f>Model!M92/Assumptions!$D$8</f>
        <v>0.6367772431124169</v>
      </c>
      <c r="N24" s="90">
        <f>Model!N92/Assumptions!$D$8</f>
        <v>0.78518653097842617</v>
      </c>
    </row>
    <row r="25" spans="1:14" ht="15" customHeight="1" x14ac:dyDescent="0.45">
      <c r="B25" s="9" t="s">
        <v>328</v>
      </c>
      <c r="D25" s="90">
        <f>Model!D49/Model!D53</f>
        <v>6.745390375037108E-2</v>
      </c>
      <c r="E25" s="90">
        <f>Model!E49/Model!E53</f>
        <v>0.14884190226469318</v>
      </c>
      <c r="F25" s="90">
        <f>Model!F49/Model!F53</f>
        <v>0.19747507455908769</v>
      </c>
      <c r="G25" s="90">
        <f>Model!G49/Model!G53</f>
        <v>0.21137625852796013</v>
      </c>
      <c r="H25" s="90">
        <f>Model!H49/Model!H53</f>
        <v>0.20031705481092582</v>
      </c>
      <c r="I25" s="90">
        <f>Model!I49/Model!I53</f>
        <v>0.17851012869782118</v>
      </c>
      <c r="J25" s="90">
        <f>Model!J49/Model!J53</f>
        <v>0.15594552856823932</v>
      </c>
      <c r="K25" s="90">
        <f>Model!K49/Model!K53</f>
        <v>0.13431424049652066</v>
      </c>
      <c r="L25" s="90">
        <f>Model!L49/Model!L53</f>
        <v>0.11533686013929834</v>
      </c>
      <c r="M25" s="90">
        <f>Model!M49/Model!M53</f>
        <v>9.9025819936403151E-2</v>
      </c>
      <c r="N25" s="90">
        <f>Model!N49/Model!N53</f>
        <v>8.5104637356801363E-2</v>
      </c>
    </row>
    <row r="26" spans="1:14" ht="15" customHeight="1" x14ac:dyDescent="0.45">
      <c r="B26" s="9" t="s">
        <v>329</v>
      </c>
      <c r="D26" s="98">
        <f>-Model!D92/Model!D19</f>
        <v>-21.949231095360421</v>
      </c>
      <c r="E26" s="98">
        <f>-Model!E92/Model!E19</f>
        <v>-16.409032504210636</v>
      </c>
      <c r="F26" s="98">
        <f>-Model!F92/Model!F19</f>
        <v>-5.3718211694332867</v>
      </c>
      <c r="G26" s="98">
        <f>-Model!G92/Model!G19</f>
        <v>-3.5477092064086047</v>
      </c>
      <c r="H26" s="98">
        <f>-Model!H92/Model!H19</f>
        <v>-3.1108024646965129</v>
      </c>
      <c r="I26" s="98">
        <f>-Model!I92/Model!I19</f>
        <v>-3.0740680202989017</v>
      </c>
      <c r="J26" s="98">
        <f>-Model!J92/Model!J19</f>
        <v>-3.3007135430365051</v>
      </c>
      <c r="K26" s="98">
        <f>-Model!K92/Model!K19</f>
        <v>-3.6343432182621478</v>
      </c>
      <c r="L26" s="98">
        <f>-Model!L92/Model!L19</f>
        <v>-4.072452786323546</v>
      </c>
      <c r="M26" s="98">
        <f>-Model!M92/Model!M19</f>
        <v>-4.5537370262277808</v>
      </c>
      <c r="N26" s="98">
        <f>-Model!N92/Model!N19</f>
        <v>-5.0765204640137993</v>
      </c>
    </row>
    <row r="27" spans="1:14" ht="15" customHeight="1" x14ac:dyDescent="0.45">
      <c r="B27" s="9" t="s">
        <v>330</v>
      </c>
      <c r="D27" s="98">
        <f>-Model!D25/Model!D28</f>
        <v>-1.4623189459415582</v>
      </c>
      <c r="E27" s="98">
        <f>-Model!E25/Model!E28</f>
        <v>-0.61628059874468544</v>
      </c>
      <c r="F27" s="98">
        <f>-Model!F25/Model!F28</f>
        <v>4.3002607629623109</v>
      </c>
      <c r="G27" s="98">
        <f>-Model!G25/Model!G28</f>
        <v>7.4914003704185514</v>
      </c>
      <c r="H27" s="98">
        <f>-Model!H25/Model!H28</f>
        <v>10.176152438907184</v>
      </c>
      <c r="I27" s="98">
        <f>-Model!I25/Model!I28</f>
        <v>12.595871097765221</v>
      </c>
      <c r="J27" s="98">
        <f>-Model!J25/Model!J28</f>
        <v>14.224817089251113</v>
      </c>
      <c r="K27" s="98">
        <f>-Model!K25/Model!K28</f>
        <v>15.655431579779039</v>
      </c>
      <c r="L27" s="98">
        <f>-Model!L25/Model!L28</f>
        <v>16.697907476334986</v>
      </c>
      <c r="M27" s="98">
        <f>-Model!M25/Model!M28</f>
        <v>17.721242119655926</v>
      </c>
      <c r="N27" s="98">
        <f>-Model!N25/Model!N28</f>
        <v>18.747371338402576</v>
      </c>
    </row>
    <row r="28" spans="1:14" x14ac:dyDescent="0.45"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</row>
    <row r="29" spans="1:14" ht="15" customHeight="1" x14ac:dyDescent="0.45">
      <c r="A29" s="61" t="s">
        <v>2</v>
      </c>
      <c r="B29" s="25" t="s">
        <v>331</v>
      </c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</row>
    <row r="30" spans="1:14" ht="15" customHeight="1" x14ac:dyDescent="0.45">
      <c r="B30" s="9" t="s">
        <v>332</v>
      </c>
      <c r="D30" s="94">
        <f>Model!D36/-Model!D8*365</f>
        <v>44.516440225365336</v>
      </c>
      <c r="E30" s="94">
        <f>Model!E36/-Model!E8*365</f>
        <v>13.999999999999998</v>
      </c>
      <c r="F30" s="94">
        <f>Model!F36/-Model!F8*365</f>
        <v>14</v>
      </c>
      <c r="G30" s="94">
        <f>Model!G36/-Model!G8*365</f>
        <v>14</v>
      </c>
      <c r="H30" s="94">
        <f>Model!H36/-Model!H8*365</f>
        <v>14</v>
      </c>
      <c r="I30" s="94">
        <f>Model!I36/-Model!I8*365</f>
        <v>14</v>
      </c>
      <c r="J30" s="94">
        <f>Model!J36/-Model!J8*365</f>
        <v>13.999999999999998</v>
      </c>
      <c r="K30" s="94">
        <f>Model!K36/-Model!K8*365</f>
        <v>14</v>
      </c>
      <c r="L30" s="94">
        <f>Model!L36/-Model!L8*365</f>
        <v>14</v>
      </c>
      <c r="M30" s="94">
        <f>Model!M36/-Model!M8*365</f>
        <v>14</v>
      </c>
      <c r="N30" s="94">
        <f>Model!N36/-Model!N8*365</f>
        <v>14</v>
      </c>
    </row>
    <row r="31" spans="1:14" ht="15" customHeight="1" x14ac:dyDescent="0.45">
      <c r="B31" s="9" t="s">
        <v>333</v>
      </c>
      <c r="D31" s="94">
        <f>Model!D47/-Model!D8*365</f>
        <v>104.69731204882915</v>
      </c>
      <c r="E31" s="94">
        <f>Model!E47/-Model!E8*365</f>
        <v>30</v>
      </c>
      <c r="F31" s="94">
        <f>Model!F47/-Model!F8*365</f>
        <v>30.000000000000004</v>
      </c>
      <c r="G31" s="94">
        <f>Model!G47/-Model!G8*365</f>
        <v>30.000000000000004</v>
      </c>
      <c r="H31" s="94">
        <f>Model!H47/-Model!H8*365</f>
        <v>30.000000000000004</v>
      </c>
      <c r="I31" s="94">
        <f>Model!I47/-Model!I8*365</f>
        <v>30</v>
      </c>
      <c r="J31" s="94">
        <f>Model!J47/-Model!J8*365</f>
        <v>30</v>
      </c>
      <c r="K31" s="94">
        <f>Model!K47/-Model!K8*365</f>
        <v>30.000000000000004</v>
      </c>
      <c r="L31" s="94">
        <f>Model!L47/-Model!L8*365</f>
        <v>30</v>
      </c>
      <c r="M31" s="94">
        <f>Model!M47/-Model!M8*365</f>
        <v>30.000000000000004</v>
      </c>
      <c r="N31" s="94">
        <f>Model!N47/-Model!N8*365</f>
        <v>30</v>
      </c>
    </row>
    <row r="32" spans="1:14" ht="15" customHeight="1" x14ac:dyDescent="0.45">
      <c r="B32" s="9" t="s">
        <v>334</v>
      </c>
      <c r="D32" s="94">
        <f>Model!D37/Model!D6*365</f>
        <v>35.000220417496344</v>
      </c>
      <c r="E32" s="94">
        <f>Model!E37/Model!E6*365</f>
        <v>8</v>
      </c>
      <c r="F32" s="94">
        <f>Model!F37/Model!F6*365</f>
        <v>8</v>
      </c>
      <c r="G32" s="94">
        <f>Model!G37/Model!G6*365</f>
        <v>8</v>
      </c>
      <c r="H32" s="94">
        <f>Model!H37/Model!H6*365</f>
        <v>8</v>
      </c>
      <c r="I32" s="94">
        <f>Model!I37/Model!I6*365</f>
        <v>7.9999999999999991</v>
      </c>
      <c r="J32" s="94">
        <f>Model!J37/Model!J6*365</f>
        <v>8</v>
      </c>
      <c r="K32" s="94">
        <f>Model!K37/Model!K6*365</f>
        <v>8</v>
      </c>
      <c r="L32" s="94">
        <f>Model!L37/Model!L6*365</f>
        <v>8</v>
      </c>
      <c r="M32" s="94">
        <f>Model!M37/Model!M6*365</f>
        <v>8</v>
      </c>
      <c r="N32" s="94">
        <f>Model!N37/Model!N6*365</f>
        <v>8</v>
      </c>
    </row>
    <row r="33" spans="1:14" ht="15" customHeight="1" x14ac:dyDescent="0.45">
      <c r="B33" s="9" t="s">
        <v>335</v>
      </c>
      <c r="D33" s="94">
        <f>Model!D36/-Model!D8*365+Model!D37/Model!D6*365-Model!D47/-Model!D8*365</f>
        <v>-25.180651405967467</v>
      </c>
      <c r="E33" s="94">
        <f>Model!E36/-Model!E8*365+Model!E37/Model!E6*365-Model!E47/-Model!E8*365</f>
        <v>-8</v>
      </c>
      <c r="F33" s="94">
        <f>Model!F36/-Model!F8*365+Model!F37/Model!F6*365-Model!F47/-Model!F8*365</f>
        <v>-8.0000000000000036</v>
      </c>
      <c r="G33" s="94">
        <f>Model!G36/-Model!G8*365+Model!G37/Model!G6*365-Model!G47/-Model!G8*365</f>
        <v>-8.0000000000000036</v>
      </c>
      <c r="H33" s="94">
        <f>Model!H36/-Model!H8*365+Model!H37/Model!H6*365-Model!H47/-Model!H8*365</f>
        <v>-8.0000000000000036</v>
      </c>
      <c r="I33" s="94">
        <f>Model!I36/-Model!I8*365+Model!I37/Model!I6*365-Model!I47/-Model!I8*365</f>
        <v>-8</v>
      </c>
      <c r="J33" s="94">
        <f>Model!J36/-Model!J8*365+Model!J37/Model!J6*365-Model!J47/-Model!J8*365</f>
        <v>-8</v>
      </c>
      <c r="K33" s="94">
        <f>Model!K36/-Model!K8*365+Model!K37/Model!K6*365-Model!K47/-Model!K8*365</f>
        <v>-8.0000000000000036</v>
      </c>
      <c r="L33" s="94">
        <f>Model!L36/-Model!L8*365+Model!L37/Model!L6*365-Model!L47/-Model!L8*365</f>
        <v>-8</v>
      </c>
      <c r="M33" s="94">
        <f>Model!M36/-Model!M8*365+Model!M37/Model!M6*365-Model!M47/-Model!M8*365</f>
        <v>-8.0000000000000036</v>
      </c>
      <c r="N33" s="94">
        <f>Model!N36/-Model!N8*365+Model!N37/Model!N6*365-Model!N47/-Model!N8*365</f>
        <v>-8</v>
      </c>
    </row>
    <row r="34" spans="1:14" ht="15" customHeight="1" x14ac:dyDescent="0.45">
      <c r="B34" s="9" t="s">
        <v>336</v>
      </c>
      <c r="D34" s="96"/>
      <c r="E34" s="90">
        <f>-Model!E77/RevBuild!E42</f>
        <v>1.2989614365172306E-2</v>
      </c>
      <c r="F34" s="90">
        <f>-Model!F77/RevBuild!F42</f>
        <v>1.082691289658487E-2</v>
      </c>
      <c r="G34" s="90">
        <f>-Model!G77/RevBuild!G42</f>
        <v>9.4351464886344733E-3</v>
      </c>
      <c r="H34" s="90">
        <f>-Model!H77/RevBuild!H42</f>
        <v>8.2209372433597206E-3</v>
      </c>
      <c r="I34" s="90">
        <f>-Model!I77/RevBuild!I42</f>
        <v>7.4290744233186101E-3</v>
      </c>
      <c r="J34" s="90">
        <f>-Model!J77/RevBuild!J42</f>
        <v>6.815784814433048E-3</v>
      </c>
      <c r="K34" s="90">
        <f>-Model!K77/RevBuild!K42</f>
        <v>6.355831477872876E-3</v>
      </c>
      <c r="L34" s="90">
        <f>-Model!L77/RevBuild!L42</f>
        <v>5.9978450540621306E-3</v>
      </c>
      <c r="M34" s="90">
        <f>-Model!M77/RevBuild!M42</f>
        <v>5.6975970396904319E-3</v>
      </c>
      <c r="N34" s="90">
        <f>-Model!N77/RevBuild!N42</f>
        <v>5.4373159730559889E-3</v>
      </c>
    </row>
    <row r="35" spans="1:14" ht="15" customHeight="1" x14ac:dyDescent="0.45">
      <c r="B35" s="9" t="s">
        <v>337</v>
      </c>
      <c r="D35" s="97">
        <f>RevBuild!D10</f>
        <v>6.71</v>
      </c>
      <c r="E35" s="97">
        <f>RevBuild!E10</f>
        <v>7.39</v>
      </c>
      <c r="F35" s="97">
        <f>RevBuild!F10</f>
        <v>7.9</v>
      </c>
      <c r="G35" s="97">
        <f>RevBuild!G10</f>
        <v>8.5</v>
      </c>
      <c r="H35" s="97">
        <f>RevBuild!H10</f>
        <v>9.15</v>
      </c>
      <c r="I35" s="97">
        <f>RevBuild!I10</f>
        <v>9.8000000000000007</v>
      </c>
      <c r="J35" s="97">
        <f>RevBuild!J10</f>
        <v>10.4</v>
      </c>
      <c r="K35" s="97">
        <f>RevBuild!K10</f>
        <v>10.95</v>
      </c>
      <c r="L35" s="97">
        <f>RevBuild!L10</f>
        <v>11.45</v>
      </c>
      <c r="M35" s="97">
        <f>RevBuild!M10</f>
        <v>11.9</v>
      </c>
      <c r="N35" s="97">
        <f>RevBuild!N10</f>
        <v>12.3</v>
      </c>
    </row>
    <row r="36" spans="1:14" x14ac:dyDescent="0.45"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</row>
    <row r="37" spans="1:14" ht="15" customHeight="1" x14ac:dyDescent="0.45">
      <c r="A37" s="61" t="s">
        <v>2</v>
      </c>
      <c r="B37" s="25" t="s">
        <v>338</v>
      </c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</row>
    <row r="38" spans="1:14" ht="15" customHeight="1" x14ac:dyDescent="0.45">
      <c r="B38" s="9" t="s">
        <v>339</v>
      </c>
      <c r="D38" s="98">
        <f>Assumptions!$D$6/Model!D32</f>
        <v>404.3544258835816</v>
      </c>
      <c r="E38" s="98">
        <f>Assumptions!$D$6/Model!E32</f>
        <v>612.04585067284461</v>
      </c>
      <c r="F38" s="98">
        <f>Assumptions!$D$6/Model!F32</f>
        <v>91.51697948585192</v>
      </c>
      <c r="G38" s="98">
        <f>Assumptions!$D$6/Model!G32</f>
        <v>40.113024791363699</v>
      </c>
      <c r="H38" s="98">
        <f>Assumptions!$D$6/Model!H32</f>
        <v>23.443584873215283</v>
      </c>
      <c r="I38" s="98">
        <f>Assumptions!$D$6/Model!I32</f>
        <v>16.591909087548498</v>
      </c>
      <c r="J38" s="98">
        <f>Assumptions!$D$6/Model!J32</f>
        <v>13.344072678205359</v>
      </c>
      <c r="K38" s="98">
        <f>Assumptions!$D$6/Model!K32</f>
        <v>10.796154055418757</v>
      </c>
      <c r="L38" s="98">
        <f>Assumptions!$D$6/Model!L32</f>
        <v>9.142054415865136</v>
      </c>
      <c r="M38" s="98">
        <f>Assumptions!$D$6/Model!M32</f>
        <v>7.894986612914666</v>
      </c>
      <c r="N38" s="98">
        <f>Assumptions!$D$6/Model!N32</f>
        <v>6.9249080354403976</v>
      </c>
    </row>
    <row r="39" spans="1:14" ht="15" customHeight="1" x14ac:dyDescent="0.45">
      <c r="B39" s="9" t="s">
        <v>340</v>
      </c>
      <c r="D39" s="98">
        <f>(Assumptions!$D$8-Model!D92)/Model!D19</f>
        <v>284.04914191533874</v>
      </c>
      <c r="E39" s="98">
        <f>(Assumptions!$D$8-Model!E92)/Model!E19</f>
        <v>186.95599234121354</v>
      </c>
      <c r="F39" s="98">
        <f>(Assumptions!$D$8-Model!F92)/Model!F19</f>
        <v>53.442737986485071</v>
      </c>
      <c r="G39" s="98">
        <f>(Assumptions!$D$8-Model!G92)/Model!G19</f>
        <v>27.068487110597992</v>
      </c>
      <c r="H39" s="98">
        <f>(Assumptions!$D$8-Model!H92)/Model!H19</f>
        <v>16.394318069278931</v>
      </c>
      <c r="I39" s="98">
        <f>(Assumptions!$D$8-Model!I92)/Model!I19</f>
        <v>10.796917743473861</v>
      </c>
      <c r="J39" s="98">
        <f>(Assumptions!$D$8-Model!J92)/Model!J19</f>
        <v>7.7398761991341365</v>
      </c>
      <c r="K39" s="98">
        <f>(Assumptions!$D$8-Model!K92)/Model!K19</f>
        <v>5.5870871597426826</v>
      </c>
      <c r="L39" s="98">
        <f>(Assumptions!$D$8-Model!L92)/Model!L19</f>
        <v>3.9669079027551644</v>
      </c>
      <c r="M39" s="98">
        <f>(Assumptions!$D$8-Model!M92)/Model!M19</f>
        <v>2.5974874804304484</v>
      </c>
      <c r="N39" s="98">
        <f>(Assumptions!$D$8-Model!N92)/Model!N19</f>
        <v>1.3888482907047941</v>
      </c>
    </row>
    <row r="40" spans="1:14" ht="15" customHeight="1" x14ac:dyDescent="0.45">
      <c r="B40" s="9" t="s">
        <v>341</v>
      </c>
      <c r="D40" s="98">
        <f>(Assumptions!$D$8-Model!D92)/Model!D6</f>
        <v>10.748452250473619</v>
      </c>
      <c r="E40" s="98">
        <f>(Assumptions!$D$8-Model!E92)/Model!E6</f>
        <v>3.9412301178508531</v>
      </c>
      <c r="F40" s="98">
        <f>(Assumptions!$D$8-Model!F92)/Model!F6</f>
        <v>2.2273177715081922</v>
      </c>
      <c r="G40" s="98">
        <f>(Assumptions!$D$8-Model!G92)/Model!G6</f>
        <v>1.5370793530807194</v>
      </c>
      <c r="H40" s="98">
        <f>(Assumptions!$D$8-Model!H92)/Model!H6</f>
        <v>1.1092166284806162</v>
      </c>
      <c r="I40" s="98">
        <f>(Assumptions!$D$8-Model!I92)/Model!I6</f>
        <v>0.82403809858225896</v>
      </c>
      <c r="J40" s="98">
        <f>(Assumptions!$D$8-Model!J92)/Model!J6</f>
        <v>0.62283755835816623</v>
      </c>
      <c r="K40" s="98">
        <f>(Assumptions!$D$8-Model!K92)/Model!K6</f>
        <v>0.46696421861465776</v>
      </c>
      <c r="L40" s="98">
        <f>(Assumptions!$D$8-Model!L92)/Model!L6</f>
        <v>0.33869640664413381</v>
      </c>
      <c r="M40" s="98">
        <f>(Assumptions!$D$8-Model!M92)/Model!M6</f>
        <v>0.22692453871954127</v>
      </c>
      <c r="N40" s="98">
        <f>(Assumptions!$D$8-Model!N92)/Model!N6</f>
        <v>0.12440806924461822</v>
      </c>
    </row>
    <row r="41" spans="1:14" ht="15" customHeight="1" x14ac:dyDescent="0.45">
      <c r="B41" s="9" t="s">
        <v>342</v>
      </c>
      <c r="D41" s="98">
        <f>(Assumptions!$D$8-Model!D92)/RevBuild!D42</f>
        <v>3.4927568399634521</v>
      </c>
      <c r="E41" s="98">
        <f>(Assumptions!$D$8-Model!E92)/RevBuild!E42</f>
        <v>2.226693704915391</v>
      </c>
      <c r="F41" s="98">
        <f>(Assumptions!$D$8-Model!F92)/RevBuild!F42</f>
        <v>1.527679424680471</v>
      </c>
      <c r="G41" s="98">
        <f>(Assumptions!$D$8-Model!G92)/RevBuild!G42</f>
        <v>1.0986170572568135</v>
      </c>
      <c r="H41" s="98">
        <f>(Assumptions!$D$8-Model!H92)/RevBuild!H42</f>
        <v>0.81410149300898504</v>
      </c>
      <c r="I41" s="98">
        <f>(Assumptions!$D$8-Model!I92)/RevBuild!I42</f>
        <v>0.6151616775564378</v>
      </c>
      <c r="J41" s="98">
        <f>(Assumptions!$D$8-Model!J92)/RevBuild!J42</f>
        <v>0.46964524049235068</v>
      </c>
      <c r="K41" s="98">
        <f>(Assumptions!$D$8-Model!K92)/RevBuild!K42</f>
        <v>0.35401968139878198</v>
      </c>
      <c r="L41" s="98">
        <f>(Assumptions!$D$8-Model!L92)/RevBuild!L42</f>
        <v>0.25760255626003059</v>
      </c>
      <c r="M41" s="98">
        <f>(Assumptions!$D$8-Model!M92)/RevBuild!M42</f>
        <v>0.17288236096808435</v>
      </c>
      <c r="N41" s="98">
        <f>(Assumptions!$D$8-Model!N92)/RevBuild!N42</f>
        <v>9.4746304778668716E-2</v>
      </c>
    </row>
    <row r="42" spans="1:14" ht="15" customHeight="1" x14ac:dyDescent="0.45">
      <c r="B42" s="9" t="s">
        <v>343</v>
      </c>
      <c r="D42" s="98">
        <f>Assumptions!$D$8/Model!D53</f>
        <v>7.7309517696341992</v>
      </c>
      <c r="E42" s="98">
        <f>Assumptions!$D$8/Model!E53</f>
        <v>7.4382634593245722</v>
      </c>
      <c r="F42" s="98">
        <f>Assumptions!$D$8/Model!F53</f>
        <v>6.7097800509545023</v>
      </c>
      <c r="G42" s="98">
        <f>Assumptions!$D$8/Model!G53</f>
        <v>5.6227683656745002</v>
      </c>
      <c r="H42" s="98">
        <f>Assumptions!$D$8/Model!H53</f>
        <v>4.4523626394960738</v>
      </c>
      <c r="I42" s="98">
        <f>Assumptions!$D$8/Model!I53</f>
        <v>3.4580603953672795</v>
      </c>
      <c r="J42" s="98">
        <f>Assumptions!$D$8/Model!J53</f>
        <v>2.7126612984022063</v>
      </c>
      <c r="K42" s="98">
        <f>Assumptions!$D$8/Model!K53</f>
        <v>2.1459081758517318</v>
      </c>
      <c r="L42" s="98">
        <f>Assumptions!$D$8/Model!L53</f>
        <v>1.7231366958050212</v>
      </c>
      <c r="M42" s="98">
        <f>Assumptions!$D$8/Model!M53</f>
        <v>1.4041744130262783</v>
      </c>
      <c r="N42" s="98">
        <f>Assumptions!$D$8/Model!N53</f>
        <v>1.1601676458301471</v>
      </c>
    </row>
    <row r="44" spans="1:14" ht="81.75" customHeight="1" x14ac:dyDescent="0.45">
      <c r="B44" s="24"/>
    </row>
  </sheetData>
  <pageMargins left="0.75" right="0.75" top="1" bottom="1" header="0.511811023622047" footer="0.511811023622047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97706"/>
    <pageSetUpPr fitToPage="1"/>
  </sheetPr>
  <dimension ref="A1:N62"/>
  <sheetViews>
    <sheetView showGridLines="0" zoomScale="90" zoomScaleNormal="100" workbookViewId="0">
      <pane xSplit="3" ySplit="4" topLeftCell="E5" activePane="bottomRight" state="frozen"/>
      <selection pane="topRight" activeCell="D1" sqref="D1"/>
      <selection pane="bottomLeft" activeCell="A6" sqref="A6"/>
      <selection pane="bottomRight" activeCell="G20" sqref="G20"/>
    </sheetView>
  </sheetViews>
  <sheetFormatPr defaultColWidth="8.6640625" defaultRowHeight="14.25" x14ac:dyDescent="0.45"/>
  <cols>
    <col min="1" max="1" width="2.6640625" customWidth="1"/>
    <col min="2" max="2" width="56" customWidth="1"/>
    <col min="3" max="3" width="11" customWidth="1"/>
    <col min="4" max="14" width="13" customWidth="1"/>
  </cols>
  <sheetData>
    <row r="1" spans="1:14" ht="15" customHeight="1" x14ac:dyDescent="0.45">
      <c r="B1" s="47"/>
    </row>
    <row r="2" spans="1:14" ht="19.5" customHeight="1" x14ac:dyDescent="0.45">
      <c r="B2" s="1" t="s">
        <v>373</v>
      </c>
    </row>
    <row r="4" spans="1:14" ht="15" customHeight="1" x14ac:dyDescent="0.45">
      <c r="A4" t="s">
        <v>2</v>
      </c>
      <c r="B4" s="3" t="s">
        <v>374</v>
      </c>
      <c r="C4" s="12" t="s">
        <v>49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27</v>
      </c>
      <c r="I4" s="12" t="s">
        <v>148</v>
      </c>
      <c r="J4" s="12" t="s">
        <v>149</v>
      </c>
      <c r="K4" s="12" t="s">
        <v>150</v>
      </c>
      <c r="L4" s="12" t="s">
        <v>151</v>
      </c>
      <c r="M4" s="12" t="s">
        <v>152</v>
      </c>
      <c r="N4" s="12" t="s">
        <v>153</v>
      </c>
    </row>
    <row r="5" spans="1:14" ht="15" customHeight="1" x14ac:dyDescent="0.45">
      <c r="B5" s="25" t="s">
        <v>375</v>
      </c>
    </row>
    <row r="6" spans="1:14" ht="15" customHeight="1" x14ac:dyDescent="0.45">
      <c r="B6" s="9" t="s">
        <v>249</v>
      </c>
      <c r="C6" s="37" t="s">
        <v>58</v>
      </c>
      <c r="F6" s="11">
        <f>Model!F25</f>
        <v>2740.7281946663993</v>
      </c>
      <c r="G6" s="11">
        <f>Model!G25</f>
        <v>6472.5324630397763</v>
      </c>
      <c r="H6" s="11">
        <f>Model!H25</f>
        <v>10833.328363411809</v>
      </c>
      <c r="I6" s="11">
        <f>Model!I25</f>
        <v>15687.149782578761</v>
      </c>
      <c r="J6" s="11">
        <f>Model!J25</f>
        <v>20007.41860828803</v>
      </c>
      <c r="K6" s="11">
        <f>Model!K25</f>
        <v>24233.355650971571</v>
      </c>
      <c r="L6" s="11">
        <f>Model!L25</f>
        <v>27880.329134161766</v>
      </c>
      <c r="M6" s="11">
        <f>Model!M25</f>
        <v>31400.889155292523</v>
      </c>
      <c r="N6" s="11">
        <f>Model!N25</f>
        <v>34770.937095048641</v>
      </c>
    </row>
    <row r="7" spans="1:14" ht="15" customHeight="1" x14ac:dyDescent="0.45">
      <c r="B7" s="9" t="s">
        <v>376</v>
      </c>
      <c r="C7" s="37" t="s">
        <v>60</v>
      </c>
      <c r="F7" s="57">
        <f>Assumptions!F56</f>
        <v>0.32</v>
      </c>
      <c r="G7" s="57">
        <f>Assumptions!G56</f>
        <v>0.24</v>
      </c>
      <c r="H7" s="57">
        <f>Assumptions!H56</f>
        <v>0.2</v>
      </c>
      <c r="I7" s="57">
        <f>Assumptions!I56</f>
        <v>0.22</v>
      </c>
      <c r="J7" s="57">
        <f>Assumptions!J56</f>
        <v>0.25169999999999998</v>
      </c>
      <c r="K7" s="57">
        <f>Assumptions!K56</f>
        <v>0.25169999999999998</v>
      </c>
      <c r="L7" s="57">
        <f>Assumptions!L56</f>
        <v>0.25169999999999998</v>
      </c>
      <c r="M7" s="57">
        <f>Assumptions!M56</f>
        <v>0.25169999999999998</v>
      </c>
      <c r="N7" s="57">
        <f>Assumptions!N56</f>
        <v>0.25169999999999998</v>
      </c>
    </row>
    <row r="8" spans="1:14" ht="15" customHeight="1" x14ac:dyDescent="0.45">
      <c r="B8" s="5" t="s">
        <v>377</v>
      </c>
      <c r="F8" s="84">
        <f t="shared" ref="F8:N8" si="0">F6*(1-F7)</f>
        <v>1863.6951723731513</v>
      </c>
      <c r="G8" s="84">
        <f t="shared" si="0"/>
        <v>4919.1246719102301</v>
      </c>
      <c r="H8" s="84">
        <f t="shared" si="0"/>
        <v>8666.6626907294467</v>
      </c>
      <c r="I8" s="84">
        <f t="shared" si="0"/>
        <v>12235.976830411433</v>
      </c>
      <c r="J8" s="84">
        <f t="shared" si="0"/>
        <v>14971.551344581932</v>
      </c>
      <c r="K8" s="84">
        <f t="shared" si="0"/>
        <v>18133.820033622025</v>
      </c>
      <c r="L8" s="84">
        <f t="shared" si="0"/>
        <v>20862.850291093248</v>
      </c>
      <c r="M8" s="84">
        <f t="shared" si="0"/>
        <v>23497.285354905394</v>
      </c>
      <c r="N8" s="84">
        <f t="shared" si="0"/>
        <v>26019.092228224898</v>
      </c>
    </row>
    <row r="9" spans="1:14" ht="15" customHeight="1" x14ac:dyDescent="0.45">
      <c r="B9" s="9" t="s">
        <v>378</v>
      </c>
      <c r="F9" s="11">
        <f>-Model!F23</f>
        <v>1914.9270053335999</v>
      </c>
      <c r="G9" s="11">
        <f>-Model!G23</f>
        <v>2368.6686969602242</v>
      </c>
      <c r="H9" s="11">
        <f>-Model!H23</f>
        <v>2901.9657369881888</v>
      </c>
      <c r="I9" s="11">
        <f>-Model!I23</f>
        <v>3453.1380518082392</v>
      </c>
      <c r="J9" s="11">
        <f>-Model!J23</f>
        <v>3970.7532430737542</v>
      </c>
      <c r="K9" s="11">
        <f>-Model!K23</f>
        <v>4427.4457770419012</v>
      </c>
      <c r="L9" s="11">
        <f>-Model!L23</f>
        <v>4983.8389317814499</v>
      </c>
      <c r="M9" s="11">
        <f>-Model!M23</f>
        <v>5522.8146149189306</v>
      </c>
      <c r="N9" s="11">
        <f>-Model!N23</f>
        <v>6035.1050768315736</v>
      </c>
    </row>
    <row r="10" spans="1:14" ht="15" customHeight="1" x14ac:dyDescent="0.45">
      <c r="B10" s="9" t="s">
        <v>379</v>
      </c>
      <c r="F10" s="11">
        <f>Model!F77</f>
        <v>-1509.3691000000001</v>
      </c>
      <c r="G10" s="11">
        <f>Model!G77</f>
        <v>-1779.6485559999999</v>
      </c>
      <c r="H10" s="11">
        <f>Model!H77</f>
        <v>-1989.3293382699999</v>
      </c>
      <c r="I10" s="11">
        <f>Model!I77</f>
        <v>-2203.2160709569998</v>
      </c>
      <c r="J10" s="11">
        <f>Model!J77</f>
        <v>-2384.5524234784298</v>
      </c>
      <c r="K10" s="11">
        <f>Model!K77</f>
        <v>-2549.4782372709196</v>
      </c>
      <c r="L10" s="11">
        <f>Model!L77</f>
        <v>-2692.7427510572006</v>
      </c>
      <c r="M10" s="11">
        <f>Model!M77</f>
        <v>-2805.6486517242611</v>
      </c>
      <c r="N10" s="11">
        <f>Model!N77</f>
        <v>-2889.3688520216297</v>
      </c>
    </row>
    <row r="11" spans="1:14" ht="15" customHeight="1" x14ac:dyDescent="0.45">
      <c r="B11" s="9" t="s">
        <v>380</v>
      </c>
      <c r="F11" s="11">
        <f>SUM(Model!F69:F75)</f>
        <v>1770.1626158395056</v>
      </c>
      <c r="G11" s="11">
        <f>SUM(Model!G69:G75)</f>
        <v>1554.9465445643846</v>
      </c>
      <c r="H11" s="11">
        <f>SUM(Model!H69:H75)</f>
        <v>1699.3773523856835</v>
      </c>
      <c r="I11" s="11">
        <f>SUM(Model!I69:I75)</f>
        <v>1738.220112156509</v>
      </c>
      <c r="J11" s="11">
        <f>SUM(Model!J69:J75)</f>
        <v>1694.9139744777985</v>
      </c>
      <c r="K11" s="11">
        <f>SUM(Model!K69:K75)</f>
        <v>1607.5528711015568</v>
      </c>
      <c r="L11" s="11">
        <f>SUM(Model!L69:L75)</f>
        <v>1484.7093879762606</v>
      </c>
      <c r="M11" s="11">
        <f>SUM(Model!M69:M75)</f>
        <v>1333.0216580167253</v>
      </c>
      <c r="N11" s="11">
        <f>SUM(Model!N69:N75)</f>
        <v>1156.3328807945127</v>
      </c>
    </row>
    <row r="12" spans="1:14" ht="15" customHeight="1" x14ac:dyDescent="0.45">
      <c r="B12" s="9" t="s">
        <v>381</v>
      </c>
      <c r="F12" s="11">
        <f>Model!F79</f>
        <v>-893.25999999999988</v>
      </c>
      <c r="G12" s="11">
        <f>Model!G79</f>
        <v>-1231.8050000000003</v>
      </c>
      <c r="H12" s="11">
        <f>Model!H79</f>
        <v>-1614.42</v>
      </c>
      <c r="I12" s="11">
        <f>Model!I79</f>
        <v>-2007.7800000000002</v>
      </c>
      <c r="J12" s="11">
        <f>Model!J79</f>
        <v>-2402.7849999999999</v>
      </c>
      <c r="K12" s="11">
        <f>Model!K79</f>
        <v>-2806.08</v>
      </c>
      <c r="L12" s="11">
        <f>Model!L79</f>
        <v>-3200.5099999999998</v>
      </c>
      <c r="M12" s="11">
        <f>Model!M79</f>
        <v>-3587.0650000000001</v>
      </c>
      <c r="N12" s="11">
        <f>Model!N79</f>
        <v>-3959.84</v>
      </c>
    </row>
    <row r="13" spans="1:14" ht="15" customHeight="1" x14ac:dyDescent="0.45">
      <c r="B13" s="5" t="s">
        <v>382</v>
      </c>
      <c r="F13" s="88">
        <f t="shared" ref="F13:N13" si="1">SUM(F8:F12)</f>
        <v>3146.1556935462572</v>
      </c>
      <c r="G13" s="88">
        <f t="shared" si="1"/>
        <v>5831.2863574348385</v>
      </c>
      <c r="H13" s="88">
        <f t="shared" si="1"/>
        <v>9664.2564418333186</v>
      </c>
      <c r="I13" s="88">
        <f t="shared" si="1"/>
        <v>13216.33892341918</v>
      </c>
      <c r="J13" s="88">
        <f t="shared" si="1"/>
        <v>15849.881138655055</v>
      </c>
      <c r="K13" s="88">
        <f t="shared" si="1"/>
        <v>18813.260444494568</v>
      </c>
      <c r="L13" s="88">
        <f t="shared" si="1"/>
        <v>21438.14585979376</v>
      </c>
      <c r="M13" s="88">
        <f t="shared" si="1"/>
        <v>23960.407976116792</v>
      </c>
      <c r="N13" s="88">
        <f t="shared" si="1"/>
        <v>26361.321333829354</v>
      </c>
    </row>
    <row r="14" spans="1:14" ht="15" customHeight="1" x14ac:dyDescent="0.45">
      <c r="B14" s="9" t="s">
        <v>383</v>
      </c>
      <c r="F14" s="33">
        <f>F13/RevBuild!F42</f>
        <v>2.2567809062157086E-2</v>
      </c>
      <c r="G14" s="33">
        <f>G13/RevBuild!G42</f>
        <v>3.0915677600546108E-2</v>
      </c>
      <c r="H14" s="33">
        <f>H13/RevBuild!H42</f>
        <v>3.9937703719354407E-2</v>
      </c>
      <c r="I14" s="33">
        <f>I13/RevBuild!I42</f>
        <v>4.4564474070505233E-2</v>
      </c>
      <c r="J14" s="33">
        <f>J13/RevBuild!J42</f>
        <v>4.5303839039876379E-2</v>
      </c>
      <c r="K14" s="33">
        <f>K13/RevBuild!K42</f>
        <v>4.6901327176080046E-2</v>
      </c>
      <c r="L14" s="33">
        <f>L13/RevBuild!L42</f>
        <v>4.7751563740332625E-2</v>
      </c>
      <c r="M14" s="33">
        <f>M13/RevBuild!M42</f>
        <v>4.8657820882382852E-2</v>
      </c>
      <c r="N14" s="33">
        <f>N13/RevBuild!N42</f>
        <v>4.9607662053601648E-2</v>
      </c>
    </row>
    <row r="17" spans="1:14" ht="15" customHeight="1" x14ac:dyDescent="0.45">
      <c r="A17" t="s">
        <v>2</v>
      </c>
      <c r="B17" s="25" t="s">
        <v>384</v>
      </c>
    </row>
    <row r="18" spans="1:14" ht="15" customHeight="1" x14ac:dyDescent="0.45">
      <c r="B18" s="9" t="s">
        <v>385</v>
      </c>
      <c r="C18" s="37" t="s">
        <v>386</v>
      </c>
      <c r="F18" s="34">
        <v>1</v>
      </c>
      <c r="G18" s="34">
        <v>2</v>
      </c>
      <c r="H18" s="34">
        <v>3</v>
      </c>
      <c r="I18" s="34">
        <v>4</v>
      </c>
      <c r="J18" s="34">
        <v>5</v>
      </c>
      <c r="K18" s="34">
        <v>6</v>
      </c>
      <c r="L18" s="34">
        <v>7</v>
      </c>
      <c r="M18" s="34">
        <v>8</v>
      </c>
      <c r="N18" s="34">
        <v>9</v>
      </c>
    </row>
    <row r="19" spans="1:14" ht="15" customHeight="1" x14ac:dyDescent="0.45">
      <c r="B19" s="9" t="s">
        <v>367</v>
      </c>
      <c r="F19" s="18">
        <f>Assumptions!$D$59</f>
        <v>0.12660168568962976</v>
      </c>
      <c r="G19" s="18">
        <f>Assumptions!$D$59</f>
        <v>0.12660168568962976</v>
      </c>
      <c r="H19" s="18">
        <f>Assumptions!$D$59</f>
        <v>0.12660168568962976</v>
      </c>
      <c r="I19" s="18">
        <f>Assumptions!$D$59</f>
        <v>0.12660168568962976</v>
      </c>
      <c r="J19" s="18">
        <f>Assumptions!$D$59</f>
        <v>0.12660168568962976</v>
      </c>
      <c r="K19" s="18">
        <f>Assumptions!$D$59</f>
        <v>0.12660168568962976</v>
      </c>
      <c r="L19" s="18">
        <f>Assumptions!$D$59</f>
        <v>0.12660168568962976</v>
      </c>
      <c r="M19" s="18">
        <f>Assumptions!$D$59</f>
        <v>0.12660168568962976</v>
      </c>
      <c r="N19" s="18">
        <f>Assumptions!$D$59</f>
        <v>0.12660168568962976</v>
      </c>
    </row>
    <row r="20" spans="1:14" ht="15" customHeight="1" x14ac:dyDescent="0.45">
      <c r="B20" s="9" t="s">
        <v>387</v>
      </c>
      <c r="F20" s="15">
        <f t="shared" ref="F20:N20" si="2">1/(1+F19)^F18</f>
        <v>0.88762515865389224</v>
      </c>
      <c r="G20" s="15">
        <f t="shared" si="2"/>
        <v>0.78787842227534743</v>
      </c>
      <c r="H20" s="15">
        <f t="shared" si="2"/>
        <v>0.69934070957213346</v>
      </c>
      <c r="I20" s="15">
        <f t="shared" si="2"/>
        <v>0.62075240828709066</v>
      </c>
      <c r="J20" s="15">
        <f t="shared" si="2"/>
        <v>0.55099545489061452</v>
      </c>
      <c r="K20" s="15">
        <f t="shared" si="2"/>
        <v>0.48907742806485527</v>
      </c>
      <c r="L20" s="15">
        <f t="shared" si="2"/>
        <v>0.43411742968010469</v>
      </c>
      <c r="M20" s="15">
        <f t="shared" si="2"/>
        <v>0.3853335523942229</v>
      </c>
      <c r="N20" s="15">
        <f t="shared" si="2"/>
        <v>0.34203175557858995</v>
      </c>
    </row>
    <row r="21" spans="1:14" ht="15" customHeight="1" x14ac:dyDescent="0.45">
      <c r="B21" s="9" t="s">
        <v>388</v>
      </c>
      <c r="F21" s="56">
        <f t="shared" ref="F21:N21" si="3">F13*F20</f>
        <v>2792.6069466338431</v>
      </c>
      <c r="G21" s="56">
        <f t="shared" si="3"/>
        <v>4594.3446951315182</v>
      </c>
      <c r="H21" s="56">
        <f t="shared" si="3"/>
        <v>6758.607957518775</v>
      </c>
      <c r="I21" s="56">
        <f t="shared" si="3"/>
        <v>8204.0742154508716</v>
      </c>
      <c r="J21" s="56">
        <f t="shared" si="3"/>
        <v>8733.2124679554126</v>
      </c>
      <c r="K21" s="56">
        <f t="shared" si="3"/>
        <v>9201.1410317076788</v>
      </c>
      <c r="L21" s="56">
        <f t="shared" si="3"/>
        <v>9306.6727777608448</v>
      </c>
      <c r="M21" s="56">
        <f t="shared" si="3"/>
        <v>9232.7491222519566</v>
      </c>
      <c r="N21" s="56">
        <f t="shared" si="3"/>
        <v>9016.4090151809905</v>
      </c>
    </row>
    <row r="23" spans="1:14" ht="15" customHeight="1" x14ac:dyDescent="0.45">
      <c r="A23" t="s">
        <v>2</v>
      </c>
      <c r="B23" s="25" t="s">
        <v>389</v>
      </c>
    </row>
    <row r="24" spans="1:14" ht="15" customHeight="1" x14ac:dyDescent="0.45">
      <c r="B24" s="9" t="s">
        <v>390</v>
      </c>
      <c r="C24" s="37" t="s">
        <v>58</v>
      </c>
      <c r="L24" s="41"/>
      <c r="N24" s="56">
        <f>SUM(F21:N21)</f>
        <v>67839.818229591896</v>
      </c>
    </row>
    <row r="25" spans="1:14" ht="15" customHeight="1" x14ac:dyDescent="0.45">
      <c r="B25" s="9" t="s">
        <v>205</v>
      </c>
      <c r="C25" s="37"/>
      <c r="L25" s="18"/>
      <c r="N25" s="18">
        <f>Assumptions!$D$60</f>
        <v>6.5000000000000002E-2</v>
      </c>
    </row>
    <row r="26" spans="1:14" ht="15" customHeight="1" x14ac:dyDescent="0.45">
      <c r="B26" s="9" t="s">
        <v>391</v>
      </c>
      <c r="C26" s="37" t="s">
        <v>58</v>
      </c>
      <c r="L26" s="41"/>
      <c r="N26" s="56">
        <f>N13*(1+N25)/(N19-N25)</f>
        <v>455747.38590724097</v>
      </c>
    </row>
    <row r="27" spans="1:14" ht="15" customHeight="1" x14ac:dyDescent="0.45">
      <c r="B27" s="9" t="s">
        <v>392</v>
      </c>
      <c r="C27" s="37" t="s">
        <v>58</v>
      </c>
      <c r="L27" s="41"/>
      <c r="N27" s="56">
        <f>N26*N20</f>
        <v>155880.07850220674</v>
      </c>
    </row>
    <row r="28" spans="1:14" ht="15" customHeight="1" x14ac:dyDescent="0.45">
      <c r="B28" s="5" t="s">
        <v>393</v>
      </c>
      <c r="C28" s="37" t="s">
        <v>58</v>
      </c>
      <c r="L28" s="35"/>
      <c r="N28" s="84">
        <f>N24+N27</f>
        <v>223719.89673179865</v>
      </c>
    </row>
    <row r="29" spans="1:14" ht="15" customHeight="1" x14ac:dyDescent="0.45">
      <c r="B29" s="9" t="s">
        <v>394</v>
      </c>
      <c r="C29" s="37"/>
      <c r="L29" s="33"/>
      <c r="N29" s="33">
        <f>N27/N28</f>
        <v>0.69676448442616579</v>
      </c>
    </row>
    <row r="30" spans="1:14" x14ac:dyDescent="0.45">
      <c r="B30" s="9" t="s">
        <v>395</v>
      </c>
      <c r="C30" s="71" t="s">
        <v>396</v>
      </c>
      <c r="N30" s="72">
        <f>N26/Model!N19</f>
        <v>12.571824181647285</v>
      </c>
    </row>
    <row r="31" spans="1:14" ht="15" customHeight="1" x14ac:dyDescent="0.45">
      <c r="B31" s="9" t="s">
        <v>397</v>
      </c>
      <c r="C31" s="37" t="s">
        <v>58</v>
      </c>
      <c r="L31" s="10"/>
      <c r="N31" s="11">
        <f>Model!E35</f>
        <v>23601.496592589861</v>
      </c>
    </row>
    <row r="32" spans="1:14" ht="15" customHeight="1" x14ac:dyDescent="0.45">
      <c r="B32" s="9" t="s">
        <v>398</v>
      </c>
      <c r="C32" s="37" t="s">
        <v>58</v>
      </c>
      <c r="L32" s="10"/>
      <c r="N32" s="11">
        <f>-Model!E49</f>
        <v>-4690</v>
      </c>
    </row>
    <row r="33" spans="1:14" ht="15" customHeight="1" x14ac:dyDescent="0.45">
      <c r="B33" s="5" t="s">
        <v>399</v>
      </c>
      <c r="C33" s="37" t="s">
        <v>58</v>
      </c>
      <c r="L33" s="35"/>
      <c r="N33" s="84">
        <f>N31+N32</f>
        <v>18911.496592589861</v>
      </c>
    </row>
    <row r="35" spans="1:14" ht="15" customHeight="1" x14ac:dyDescent="0.45">
      <c r="A35" t="s">
        <v>2</v>
      </c>
      <c r="B35" s="5" t="s">
        <v>400</v>
      </c>
      <c r="C35" s="37" t="s">
        <v>58</v>
      </c>
      <c r="L35" s="35"/>
      <c r="N35" s="84">
        <f>N28+N33</f>
        <v>242631.39332438851</v>
      </c>
    </row>
    <row r="37" spans="1:14" ht="15" customHeight="1" x14ac:dyDescent="0.45">
      <c r="B37" s="9" t="s">
        <v>10</v>
      </c>
      <c r="C37" s="37"/>
      <c r="L37" s="11"/>
      <c r="N37" s="11">
        <f>Assumptions!$D$7</f>
        <v>965.04</v>
      </c>
    </row>
    <row r="39" spans="1:14" ht="15" customHeight="1" x14ac:dyDescent="0.45">
      <c r="A39" t="s">
        <v>2</v>
      </c>
      <c r="B39" s="5" t="s">
        <v>401</v>
      </c>
      <c r="C39" s="37" t="s">
        <v>155</v>
      </c>
      <c r="L39" s="17"/>
      <c r="N39" s="17">
        <f>N35/N37</f>
        <v>251.42107407401613</v>
      </c>
    </row>
    <row r="40" spans="1:14" ht="15" customHeight="1" x14ac:dyDescent="0.45">
      <c r="B40" s="9" t="s">
        <v>402</v>
      </c>
      <c r="C40" s="37" t="s">
        <v>155</v>
      </c>
      <c r="L40" s="13"/>
      <c r="N40" s="13">
        <f>Assumptions!$D$6</f>
        <v>242.87</v>
      </c>
    </row>
    <row r="41" spans="1:14" ht="15" customHeight="1" x14ac:dyDescent="0.45">
      <c r="B41" s="5" t="s">
        <v>403</v>
      </c>
      <c r="C41" s="37"/>
      <c r="L41" s="73"/>
      <c r="N41" s="73">
        <f>N39/N40-1</f>
        <v>3.520844103436449E-2</v>
      </c>
    </row>
    <row r="43" spans="1:14" x14ac:dyDescent="0.45">
      <c r="B43" s="9" t="s">
        <v>404</v>
      </c>
      <c r="C43" s="71" t="s">
        <v>396</v>
      </c>
      <c r="N43" s="72">
        <f>N50/Model!N19</f>
        <v>11.906284941932954</v>
      </c>
    </row>
    <row r="44" spans="1:14" ht="15" customHeight="1" x14ac:dyDescent="0.45">
      <c r="A44" t="s">
        <v>2</v>
      </c>
      <c r="B44" s="25" t="s">
        <v>405</v>
      </c>
    </row>
    <row r="45" spans="1:14" ht="15" customHeight="1" x14ac:dyDescent="0.45">
      <c r="B45" s="9" t="s">
        <v>406</v>
      </c>
      <c r="L45" s="41"/>
      <c r="N45" s="41">
        <f>Assumptions!$D$8</f>
        <v>234379.2648</v>
      </c>
    </row>
    <row r="46" spans="1:14" ht="15" customHeight="1" x14ac:dyDescent="0.45">
      <c r="B46" s="9" t="s">
        <v>407</v>
      </c>
      <c r="L46" s="41"/>
      <c r="N46" s="41">
        <f>-N33</f>
        <v>-18911.496592589861</v>
      </c>
    </row>
    <row r="47" spans="1:14" ht="15" customHeight="1" x14ac:dyDescent="0.45">
      <c r="B47" s="9" t="s">
        <v>408</v>
      </c>
      <c r="L47" s="41"/>
      <c r="N47" s="41">
        <f>N45+N46</f>
        <v>215467.76820741015</v>
      </c>
    </row>
    <row r="48" spans="1:14" ht="15" customHeight="1" x14ac:dyDescent="0.45">
      <c r="B48" s="9" t="s">
        <v>409</v>
      </c>
      <c r="L48" s="41"/>
      <c r="N48" s="41">
        <f>-N24</f>
        <v>-67839.818229591896</v>
      </c>
    </row>
    <row r="49" spans="1:14" ht="15" customHeight="1" x14ac:dyDescent="0.45">
      <c r="B49" s="9" t="s">
        <v>410</v>
      </c>
      <c r="L49" s="41"/>
      <c r="N49" s="41">
        <f>N47+N48</f>
        <v>147627.94997781824</v>
      </c>
    </row>
    <row r="50" spans="1:14" ht="15" customHeight="1" x14ac:dyDescent="0.45">
      <c r="B50" s="9" t="s">
        <v>411</v>
      </c>
      <c r="L50" s="41"/>
      <c r="N50" s="41">
        <f>N49/N20</f>
        <v>431620.59536865779</v>
      </c>
    </row>
    <row r="51" spans="1:14" ht="15" customHeight="1" x14ac:dyDescent="0.45">
      <c r="B51" s="5" t="s">
        <v>412</v>
      </c>
      <c r="L51" s="16"/>
      <c r="N51" s="16">
        <f>(N50*N19-N13)/(N50+N13)</f>
        <v>6.1754782419885738E-2</v>
      </c>
    </row>
    <row r="52" spans="1:14" ht="15" customHeight="1" x14ac:dyDescent="0.45">
      <c r="B52" s="9" t="s">
        <v>413</v>
      </c>
      <c r="L52" s="64"/>
      <c r="N52" s="64">
        <f>Assumptions!$D$60</f>
        <v>6.5000000000000002E-2</v>
      </c>
    </row>
    <row r="54" spans="1:14" x14ac:dyDescent="0.45">
      <c r="A54" s="1" t="s">
        <v>2</v>
      </c>
      <c r="B54" s="25" t="s">
        <v>414</v>
      </c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</row>
    <row r="55" spans="1:14" x14ac:dyDescent="0.45">
      <c r="B55" s="9" t="s">
        <v>415</v>
      </c>
      <c r="C55" s="71" t="s">
        <v>58</v>
      </c>
      <c r="N55" s="10">
        <f>Model!N19</f>
        <v>36251.492171880214</v>
      </c>
    </row>
    <row r="56" spans="1:14" x14ac:dyDescent="0.45">
      <c r="B56" s="9" t="s">
        <v>416</v>
      </c>
      <c r="C56" s="71" t="s">
        <v>396</v>
      </c>
      <c r="N56" s="75">
        <v>12</v>
      </c>
    </row>
    <row r="57" spans="1:14" x14ac:dyDescent="0.45">
      <c r="B57" s="9" t="s">
        <v>417</v>
      </c>
      <c r="C57" s="71" t="s">
        <v>58</v>
      </c>
      <c r="N57" s="41">
        <f>N55*N56</f>
        <v>435017.9060625626</v>
      </c>
    </row>
    <row r="58" spans="1:14" x14ac:dyDescent="0.45">
      <c r="B58" s="9" t="s">
        <v>418</v>
      </c>
      <c r="C58" s="71" t="s">
        <v>58</v>
      </c>
      <c r="N58" s="41">
        <f>N24+N57*N20</f>
        <v>216629.75634829229</v>
      </c>
    </row>
    <row r="59" spans="1:14" x14ac:dyDescent="0.45">
      <c r="B59" s="5" t="s">
        <v>419</v>
      </c>
      <c r="C59" s="71" t="s">
        <v>155</v>
      </c>
      <c r="N59" s="7">
        <f>(N58+N33)/N37</f>
        <v>244.07408287830779</v>
      </c>
    </row>
    <row r="60" spans="1:14" x14ac:dyDescent="0.45">
      <c r="B60" s="9" t="s">
        <v>420</v>
      </c>
      <c r="C60" s="71" t="s">
        <v>155</v>
      </c>
      <c r="N60" s="15">
        <f>N59-N39</f>
        <v>-7.3469911957083411</v>
      </c>
    </row>
    <row r="62" spans="1:14" x14ac:dyDescent="0.45">
      <c r="B62" s="2"/>
    </row>
  </sheetData>
  <pageMargins left="0.75" right="0.75" top="1" bottom="1" header="0.511811023622047" footer="0.511811023622047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D97706"/>
    <pageSetUpPr fitToPage="1"/>
  </sheetPr>
  <dimension ref="A1:G31"/>
  <sheetViews>
    <sheetView showGridLines="0" zoomScale="82" zoomScaleNormal="82" workbookViewId="0">
      <selection activeCell="F26" sqref="F26"/>
    </sheetView>
  </sheetViews>
  <sheetFormatPr defaultColWidth="8.6640625" defaultRowHeight="14.25" x14ac:dyDescent="0.45"/>
  <cols>
    <col min="1" max="1" width="2.265625" customWidth="1"/>
    <col min="2" max="2" width="40" customWidth="1"/>
    <col min="3" max="3" width="30" customWidth="1"/>
    <col min="4" max="5" width="16" customWidth="1"/>
    <col min="6" max="6" width="19.265625" customWidth="1"/>
    <col min="7" max="12" width="16" customWidth="1"/>
  </cols>
  <sheetData>
    <row r="1" spans="1:7" ht="15" customHeight="1" x14ac:dyDescent="0.45">
      <c r="B1" s="47"/>
    </row>
    <row r="2" spans="1:7" ht="19.5" customHeight="1" x14ac:dyDescent="0.45">
      <c r="B2" s="1" t="s">
        <v>421</v>
      </c>
    </row>
    <row r="3" spans="1:7" ht="15" customHeight="1" x14ac:dyDescent="0.45">
      <c r="B3" s="2" t="s">
        <v>422</v>
      </c>
    </row>
    <row r="5" spans="1:7" ht="15" customHeight="1" x14ac:dyDescent="0.45">
      <c r="A5" t="s">
        <v>2</v>
      </c>
      <c r="B5" s="3" t="s">
        <v>423</v>
      </c>
      <c r="C5" s="3" t="s">
        <v>424</v>
      </c>
      <c r="D5" s="12" t="s">
        <v>425</v>
      </c>
      <c r="E5" s="12" t="s">
        <v>426</v>
      </c>
      <c r="F5" s="12" t="s">
        <v>427</v>
      </c>
      <c r="G5" s="12" t="s">
        <v>428</v>
      </c>
    </row>
    <row r="6" spans="1:7" ht="15" customHeight="1" x14ac:dyDescent="0.45">
      <c r="B6" s="9" t="s">
        <v>429</v>
      </c>
      <c r="C6" s="2" t="s">
        <v>430</v>
      </c>
      <c r="D6" s="11">
        <f>RevBuild!I11</f>
        <v>200312</v>
      </c>
      <c r="E6" s="75">
        <v>1.5</v>
      </c>
      <c r="F6" s="56">
        <f>D6*E6</f>
        <v>300468</v>
      </c>
      <c r="G6" s="33">
        <f>F6/$F$11</f>
        <v>0.61070829897462864</v>
      </c>
    </row>
    <row r="7" spans="1:7" ht="15" customHeight="1" x14ac:dyDescent="0.45">
      <c r="B7" s="9" t="s">
        <v>431</v>
      </c>
      <c r="C7" s="2" t="s">
        <v>340</v>
      </c>
      <c r="D7" s="11">
        <f>RevBuild!I24</f>
        <v>4837.3234761149988</v>
      </c>
      <c r="E7" s="75">
        <v>30</v>
      </c>
      <c r="F7" s="56">
        <f>D7*E7</f>
        <v>145119.70428344997</v>
      </c>
      <c r="G7" s="33">
        <f>F7/$F$11</f>
        <v>0.29495922278128406</v>
      </c>
    </row>
    <row r="8" spans="1:7" ht="15" customHeight="1" x14ac:dyDescent="0.45">
      <c r="B8" s="9" t="s">
        <v>432</v>
      </c>
      <c r="C8" s="2" t="s">
        <v>430</v>
      </c>
      <c r="D8" s="11">
        <f>RevBuild!I27</f>
        <v>28123.381440000001</v>
      </c>
      <c r="E8" s="75">
        <v>1</v>
      </c>
      <c r="F8" s="56">
        <f>D8*E8</f>
        <v>28123.381440000001</v>
      </c>
      <c r="G8" s="33">
        <f>F8/$F$11</f>
        <v>5.7161436294836859E-2</v>
      </c>
    </row>
    <row r="9" spans="1:7" ht="15" customHeight="1" x14ac:dyDescent="0.45">
      <c r="B9" s="9" t="s">
        <v>433</v>
      </c>
      <c r="C9" s="2" t="s">
        <v>341</v>
      </c>
      <c r="D9" s="11">
        <f>RevBuild!I30</f>
        <v>12192.082156799999</v>
      </c>
      <c r="E9" s="75">
        <v>1.5</v>
      </c>
      <c r="F9" s="56">
        <f>D9*E9</f>
        <v>18288.123235200001</v>
      </c>
      <c r="G9" s="33">
        <f>F9/$F$11</f>
        <v>3.7171041949250416E-2</v>
      </c>
    </row>
    <row r="10" spans="1:7" ht="15" customHeight="1" x14ac:dyDescent="0.45">
      <c r="B10" s="9" t="s">
        <v>434</v>
      </c>
      <c r="C10" s="2" t="s">
        <v>435</v>
      </c>
      <c r="D10" s="11">
        <f>RevBuild!I32</f>
        <v>1500</v>
      </c>
      <c r="E10" s="75">
        <v>0</v>
      </c>
      <c r="F10" s="56">
        <f>D10*E10</f>
        <v>0</v>
      </c>
      <c r="G10" s="33">
        <f>F10/$F$11</f>
        <v>0</v>
      </c>
    </row>
    <row r="11" spans="1:7" ht="15" customHeight="1" x14ac:dyDescent="0.45">
      <c r="B11" s="5" t="s">
        <v>436</v>
      </c>
      <c r="F11" s="88">
        <f>SUM(F6:F10)</f>
        <v>491999.20895865001</v>
      </c>
    </row>
    <row r="13" spans="1:7" ht="15" customHeight="1" x14ac:dyDescent="0.45">
      <c r="A13" t="s">
        <v>2</v>
      </c>
      <c r="B13" s="25" t="s">
        <v>437</v>
      </c>
    </row>
    <row r="14" spans="1:7" ht="15" customHeight="1" x14ac:dyDescent="0.45">
      <c r="B14" s="9" t="s">
        <v>438</v>
      </c>
      <c r="D14" s="34">
        <v>4</v>
      </c>
    </row>
    <row r="15" spans="1:7" ht="15" customHeight="1" x14ac:dyDescent="0.45">
      <c r="B15" s="9" t="s">
        <v>439</v>
      </c>
      <c r="D15" s="18">
        <f>Assumptions!$D$59</f>
        <v>0.12660168568962976</v>
      </c>
    </row>
    <row r="16" spans="1:7" ht="15" customHeight="1" x14ac:dyDescent="0.45">
      <c r="B16" s="9" t="s">
        <v>387</v>
      </c>
      <c r="D16" s="15">
        <f>1/(1+D15)^D14</f>
        <v>0.62075240828709066</v>
      </c>
    </row>
    <row r="17" spans="1:4" ht="15" customHeight="1" x14ac:dyDescent="0.45">
      <c r="B17" s="5" t="s">
        <v>440</v>
      </c>
      <c r="D17" s="35">
        <f>F11*D16</f>
        <v>305409.69383642555</v>
      </c>
    </row>
    <row r="19" spans="1:4" ht="15" customHeight="1" x14ac:dyDescent="0.45">
      <c r="B19" s="9" t="s">
        <v>441</v>
      </c>
      <c r="D19" s="10">
        <f>DCF!N33</f>
        <v>18911.496592589861</v>
      </c>
    </row>
    <row r="20" spans="1:4" ht="15" customHeight="1" x14ac:dyDescent="0.45">
      <c r="B20" s="5" t="s">
        <v>18</v>
      </c>
      <c r="D20" s="35">
        <f>D17+D19</f>
        <v>324321.19042901543</v>
      </c>
    </row>
    <row r="22" spans="1:4" ht="15" customHeight="1" x14ac:dyDescent="0.45">
      <c r="B22" s="9" t="s">
        <v>10</v>
      </c>
      <c r="D22" s="11">
        <f>Assumptions!$D$7</f>
        <v>965.04</v>
      </c>
    </row>
    <row r="24" spans="1:4" ht="15" customHeight="1" x14ac:dyDescent="0.45">
      <c r="B24" s="5" t="s">
        <v>442</v>
      </c>
      <c r="D24" s="76">
        <f>D20/D22</f>
        <v>336.07020478841855</v>
      </c>
    </row>
    <row r="25" spans="1:4" ht="15" customHeight="1" x14ac:dyDescent="0.45">
      <c r="B25" s="9" t="s">
        <v>403</v>
      </c>
      <c r="D25" s="73">
        <f>D24/Assumptions!$D$6-1</f>
        <v>0.38374523320467135</v>
      </c>
    </row>
    <row r="27" spans="1:4" ht="15" customHeight="1" x14ac:dyDescent="0.45">
      <c r="A27" t="s">
        <v>2</v>
      </c>
      <c r="B27" s="25" t="s">
        <v>443</v>
      </c>
    </row>
    <row r="28" spans="1:4" ht="15" customHeight="1" x14ac:dyDescent="0.45">
      <c r="B28" s="9" t="s">
        <v>444</v>
      </c>
      <c r="D28" s="72">
        <f>F6/RevBuild!I14</f>
        <v>1.6304347826086956</v>
      </c>
    </row>
    <row r="29" spans="1:4" ht="15" customHeight="1" x14ac:dyDescent="0.45">
      <c r="B29" s="9" t="s">
        <v>445</v>
      </c>
      <c r="D29" s="72">
        <f>F6/RevBuild!I16</f>
        <v>29.411764705882359</v>
      </c>
    </row>
    <row r="30" spans="1:4" ht="15" customHeight="1" x14ac:dyDescent="0.45">
      <c r="B30" s="9" t="s">
        <v>446</v>
      </c>
      <c r="D30" s="72">
        <f>F7/RevBuild!I19</f>
        <v>2.13</v>
      </c>
    </row>
    <row r="31" spans="1:4" ht="15" customHeight="1" x14ac:dyDescent="0.45">
      <c r="B31" s="9" t="s">
        <v>447</v>
      </c>
      <c r="D31" s="33">
        <f>G6</f>
        <v>0.61070829897462864</v>
      </c>
    </row>
  </sheetData>
  <pageMargins left="0.75" right="0.75" top="1" bottom="1" header="0.511811023622047" footer="0.511811023622047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F2937"/>
  </sheetPr>
  <dimension ref="A2:M34"/>
  <sheetViews>
    <sheetView showGridLines="0" topLeftCell="A15" zoomScale="84" zoomScaleNormal="96" workbookViewId="0">
      <selection activeCell="D35" sqref="D35"/>
    </sheetView>
  </sheetViews>
  <sheetFormatPr defaultColWidth="8.6640625" defaultRowHeight="14.25" x14ac:dyDescent="0.45"/>
  <cols>
    <col min="1" max="1" width="1.796875" bestFit="1" customWidth="1"/>
    <col min="2" max="2" width="59.9296875" bestFit="1" customWidth="1"/>
    <col min="3" max="3" width="15.46484375" bestFit="1" customWidth="1"/>
    <col min="4" max="4" width="13.86328125" bestFit="1" customWidth="1"/>
    <col min="5" max="5" width="14.53125" bestFit="1" customWidth="1"/>
    <col min="6" max="6" width="17.6640625" bestFit="1" customWidth="1"/>
    <col min="7" max="7" width="12.86328125" bestFit="1" customWidth="1"/>
    <col min="8" max="8" width="14.73046875" bestFit="1" customWidth="1"/>
    <col min="9" max="9" width="11.6640625" bestFit="1" customWidth="1"/>
    <col min="10" max="10" width="10.86328125" bestFit="1" customWidth="1"/>
    <col min="11" max="11" width="13.06640625" bestFit="1" customWidth="1"/>
    <col min="12" max="12" width="14.59765625" bestFit="1" customWidth="1"/>
    <col min="13" max="13" width="45" bestFit="1" customWidth="1"/>
  </cols>
  <sheetData>
    <row r="2" spans="1:13" x14ac:dyDescent="0.45">
      <c r="B2" s="1" t="s">
        <v>448</v>
      </c>
    </row>
    <row r="3" spans="1:13" x14ac:dyDescent="0.45">
      <c r="B3" s="71"/>
    </row>
    <row r="5" spans="1:13" x14ac:dyDescent="0.45">
      <c r="A5" s="12" t="s">
        <v>2</v>
      </c>
      <c r="B5" s="3" t="s">
        <v>449</v>
      </c>
      <c r="C5" s="12" t="s">
        <v>450</v>
      </c>
      <c r="D5" s="12" t="s">
        <v>451</v>
      </c>
      <c r="E5" s="12" t="s">
        <v>452</v>
      </c>
      <c r="F5" s="12" t="s">
        <v>453</v>
      </c>
      <c r="G5" s="12" t="s">
        <v>454</v>
      </c>
      <c r="H5" s="12" t="s">
        <v>455</v>
      </c>
      <c r="I5" s="12" t="s">
        <v>341</v>
      </c>
      <c r="J5" s="12" t="s">
        <v>456</v>
      </c>
      <c r="K5" s="12" t="s">
        <v>457</v>
      </c>
      <c r="L5" s="12" t="s">
        <v>458</v>
      </c>
      <c r="M5" s="71"/>
    </row>
    <row r="6" spans="1:13" x14ac:dyDescent="0.45">
      <c r="B6" s="9" t="s">
        <v>350</v>
      </c>
      <c r="C6" s="102">
        <v>289.85000000000002</v>
      </c>
      <c r="D6" s="106">
        <v>79773</v>
      </c>
      <c r="E6" s="106">
        <v>3300</v>
      </c>
      <c r="F6" s="107">
        <f t="shared" ref="F6" si="0">D6-E6</f>
        <v>76473</v>
      </c>
      <c r="G6" s="106">
        <v>19500</v>
      </c>
      <c r="H6" s="106">
        <v>-2931</v>
      </c>
      <c r="I6" s="108">
        <f t="shared" ref="I6" si="1">F6/G6</f>
        <v>3.9216923076923078</v>
      </c>
      <c r="J6" s="109" t="str">
        <f t="shared" ref="J6" si="2">IF(H6&lt;=0,"n.m.",F6/H6)</f>
        <v>n.m.</v>
      </c>
      <c r="K6" s="44">
        <v>-0.155</v>
      </c>
      <c r="L6" s="44">
        <v>0.45</v>
      </c>
      <c r="M6" s="71"/>
    </row>
    <row r="7" spans="1:13" x14ac:dyDescent="0.45">
      <c r="B7" s="99" t="s">
        <v>352</v>
      </c>
      <c r="C7" s="102">
        <v>259</v>
      </c>
      <c r="D7" s="103">
        <v>74259</v>
      </c>
      <c r="E7" s="103">
        <v>350</v>
      </c>
      <c r="F7" s="100">
        <f t="shared" ref="F7:F10" si="3">D7-E7</f>
        <v>73909</v>
      </c>
      <c r="G7" s="103">
        <v>9200</v>
      </c>
      <c r="H7" s="100">
        <f t="shared" ref="H7:H9" si="4">G7*K7</f>
        <v>598</v>
      </c>
      <c r="I7" s="101">
        <f t="shared" ref="I7:I10" si="5">F7/G7</f>
        <v>8.0335869565217397</v>
      </c>
      <c r="J7" s="101">
        <f t="shared" ref="J7:J10" si="6">IF(H7&lt;=0,"n.m.",F7/H7)</f>
        <v>123.59364548494983</v>
      </c>
      <c r="K7" s="104">
        <v>6.5000000000000002E-2</v>
      </c>
      <c r="L7" s="104">
        <v>0.24</v>
      </c>
      <c r="M7" s="71"/>
    </row>
    <row r="8" spans="1:13" x14ac:dyDescent="0.45">
      <c r="B8" s="99" t="s">
        <v>353</v>
      </c>
      <c r="C8" s="102">
        <v>998</v>
      </c>
      <c r="D8" s="103">
        <v>64707.94</v>
      </c>
      <c r="E8" s="103">
        <v>2500</v>
      </c>
      <c r="F8" s="100">
        <f t="shared" si="3"/>
        <v>62207.94</v>
      </c>
      <c r="G8" s="103">
        <v>3200</v>
      </c>
      <c r="H8" s="100">
        <f t="shared" si="4"/>
        <v>1216</v>
      </c>
      <c r="I8" s="101">
        <f t="shared" si="5"/>
        <v>19.439981250000002</v>
      </c>
      <c r="J8" s="101">
        <f t="shared" si="6"/>
        <v>51.157845394736846</v>
      </c>
      <c r="K8" s="104">
        <v>0.38</v>
      </c>
      <c r="L8" s="104">
        <v>0.15</v>
      </c>
      <c r="M8" s="71"/>
    </row>
    <row r="9" spans="1:13" x14ac:dyDescent="0.45">
      <c r="B9" s="105" t="s">
        <v>354</v>
      </c>
      <c r="C9" s="102">
        <v>214.5</v>
      </c>
      <c r="D9" s="103">
        <v>11180.13</v>
      </c>
      <c r="E9" s="103">
        <v>1800</v>
      </c>
      <c r="F9" s="100">
        <f t="shared" si="3"/>
        <v>9380.1299999999992</v>
      </c>
      <c r="G9" s="103">
        <v>8600</v>
      </c>
      <c r="H9" s="100">
        <f t="shared" si="4"/>
        <v>215</v>
      </c>
      <c r="I9" s="101">
        <f t="shared" si="5"/>
        <v>1.0907127906976744</v>
      </c>
      <c r="J9" s="101">
        <f t="shared" si="6"/>
        <v>43.628511627906974</v>
      </c>
      <c r="K9" s="104">
        <v>2.5000000000000001E-2</v>
      </c>
      <c r="L9" s="104">
        <v>0.15</v>
      </c>
      <c r="M9" s="71"/>
    </row>
    <row r="10" spans="1:13" x14ac:dyDescent="0.45">
      <c r="B10" s="110" t="s">
        <v>515</v>
      </c>
      <c r="C10" s="102">
        <v>156</v>
      </c>
      <c r="D10" s="103">
        <v>97072</v>
      </c>
      <c r="E10" s="103">
        <v>4045</v>
      </c>
      <c r="F10" s="100">
        <f t="shared" si="3"/>
        <v>93027</v>
      </c>
      <c r="G10" s="103">
        <v>13835</v>
      </c>
      <c r="H10" s="100">
        <v>-1475</v>
      </c>
      <c r="I10" s="101">
        <f t="shared" si="5"/>
        <v>6.7240332490061441</v>
      </c>
      <c r="J10" s="101" t="str">
        <f t="shared" si="6"/>
        <v>n.m.</v>
      </c>
      <c r="K10" s="104">
        <f t="shared" ref="K10" si="7">IFERROR(H10/G10,"")</f>
        <v>-0.10661366100469823</v>
      </c>
      <c r="L10" s="104">
        <v>0.34</v>
      </c>
      <c r="M10" s="71"/>
    </row>
    <row r="11" spans="1:13" x14ac:dyDescent="0.45">
      <c r="B11" s="5" t="s">
        <v>459</v>
      </c>
      <c r="I11" s="77">
        <f>MEDIAN(I6:I10)</f>
        <v>6.7240332490061441</v>
      </c>
      <c r="J11" s="77">
        <f>MEDIAN(J6:J10)</f>
        <v>51.157845394736846</v>
      </c>
      <c r="K11" s="62">
        <f>MEDIAN(K6:K10)</f>
        <v>2.5000000000000001E-2</v>
      </c>
      <c r="L11" s="62">
        <f>MEDIAN(L6:L10)</f>
        <v>0.24</v>
      </c>
    </row>
    <row r="13" spans="1:13" x14ac:dyDescent="0.45">
      <c r="B13" s="5" t="s">
        <v>460</v>
      </c>
      <c r="C13" s="78">
        <f>Assumptions!$D$6</f>
        <v>242.87</v>
      </c>
      <c r="D13" s="32">
        <f>Assumptions!$D$8</f>
        <v>234379.2648</v>
      </c>
      <c r="E13" s="32">
        <f>Model!E92</f>
        <v>18911.496592589861</v>
      </c>
      <c r="F13" s="58">
        <f>D13-E13</f>
        <v>215467.76820741015</v>
      </c>
      <c r="G13" s="32">
        <f>Model!E6</f>
        <v>54670.182091499999</v>
      </c>
      <c r="H13" s="32">
        <f>Model!E22</f>
        <v>1356.9347794999999</v>
      </c>
      <c r="I13" s="79">
        <f>F13/G13</f>
        <v>3.9412301178508531</v>
      </c>
      <c r="J13" s="79">
        <f>F13/H13</f>
        <v>158.79006969428937</v>
      </c>
      <c r="K13" s="73">
        <f>Model!E22/Model!E6</f>
        <v>2.4820381560627235E-2</v>
      </c>
      <c r="L13" s="73">
        <f>Model!E7</f>
        <v>1.7008651429035466</v>
      </c>
      <c r="M13" s="71"/>
    </row>
    <row r="14" spans="1:13" x14ac:dyDescent="0.45">
      <c r="B14" s="9" t="s">
        <v>461</v>
      </c>
      <c r="I14" s="33">
        <f>I13/I11-1</f>
        <v>-0.41385921635152645</v>
      </c>
    </row>
    <row r="15" spans="1:13" x14ac:dyDescent="0.45">
      <c r="B15" s="9" t="s">
        <v>462</v>
      </c>
      <c r="J15" s="33">
        <f>J13/J11-1</f>
        <v>2.1039241091773149</v>
      </c>
    </row>
    <row r="18" spans="1:13" x14ac:dyDescent="0.45">
      <c r="A18" s="38" t="s">
        <v>2</v>
      </c>
      <c r="B18" s="25" t="s">
        <v>463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</row>
    <row r="19" spans="1:13" x14ac:dyDescent="0.45">
      <c r="B19" s="2"/>
    </row>
    <row r="20" spans="1:13" x14ac:dyDescent="0.45">
      <c r="B20" s="3" t="s">
        <v>464</v>
      </c>
      <c r="C20" s="12" t="s">
        <v>465</v>
      </c>
      <c r="D20" s="12" t="s">
        <v>453</v>
      </c>
      <c r="E20" s="12" t="s">
        <v>466</v>
      </c>
    </row>
    <row r="21" spans="1:13" x14ac:dyDescent="0.45">
      <c r="B21" s="9" t="s">
        <v>467</v>
      </c>
      <c r="C21" s="10">
        <f>RevBuild!F42</f>
        <v>139409</v>
      </c>
      <c r="D21" s="41">
        <f>F13</f>
        <v>215467.76820741015</v>
      </c>
      <c r="E21" s="79">
        <f>D21/C21</f>
        <v>1.5455800429485194</v>
      </c>
    </row>
    <row r="22" spans="1:13" x14ac:dyDescent="0.45">
      <c r="B22" s="9" t="s">
        <v>514</v>
      </c>
      <c r="C22" s="112">
        <v>65000</v>
      </c>
      <c r="D22" s="41">
        <f>F6</f>
        <v>76473</v>
      </c>
      <c r="E22" s="79">
        <f>D22/C22</f>
        <v>1.1765076923076923</v>
      </c>
    </row>
    <row r="23" spans="1:13" x14ac:dyDescent="0.45">
      <c r="B23" s="5" t="s">
        <v>468</v>
      </c>
      <c r="E23" s="73">
        <f>E21/E22-1</f>
        <v>0.31370160437871886</v>
      </c>
    </row>
    <row r="25" spans="1:13" x14ac:dyDescent="0.45">
      <c r="A25" s="38" t="s">
        <v>2</v>
      </c>
      <c r="B25" s="25" t="s">
        <v>469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</row>
    <row r="26" spans="1:13" x14ac:dyDescent="0.45">
      <c r="B26" s="3" t="s">
        <v>470</v>
      </c>
      <c r="C26" s="12" t="s">
        <v>471</v>
      </c>
      <c r="D26" s="12" t="s">
        <v>426</v>
      </c>
      <c r="E26" s="12" t="s">
        <v>472</v>
      </c>
      <c r="F26" s="12" t="s">
        <v>473</v>
      </c>
      <c r="G26" s="12" t="s">
        <v>474</v>
      </c>
      <c r="H26" s="12" t="s">
        <v>475</v>
      </c>
    </row>
    <row r="27" spans="1:13" x14ac:dyDescent="0.45">
      <c r="B27" s="9" t="s">
        <v>476</v>
      </c>
      <c r="C27" s="10">
        <f>RevBuild!F42</f>
        <v>139409</v>
      </c>
      <c r="D27" s="111">
        <v>2.1</v>
      </c>
      <c r="E27" s="41">
        <f>C27*D27</f>
        <v>292758.90000000002</v>
      </c>
      <c r="F27" s="41">
        <f>E27+Model!E92</f>
        <v>311670.39659258991</v>
      </c>
      <c r="G27" s="81">
        <v>0</v>
      </c>
      <c r="H27" s="7">
        <f>F27/Assumptions!$D$7/(1+Assumptions!$D$59)^G27</f>
        <v>322.96111725170971</v>
      </c>
      <c r="M27" s="71" t="s">
        <v>477</v>
      </c>
    </row>
    <row r="28" spans="1:13" x14ac:dyDescent="0.45">
      <c r="B28" s="9" t="s">
        <v>478</v>
      </c>
      <c r="C28" s="10">
        <f>Model!H19</f>
        <v>12016.294100399999</v>
      </c>
      <c r="D28" s="111">
        <v>22</v>
      </c>
      <c r="E28" s="41">
        <f>C28*D28</f>
        <v>264358.47020879999</v>
      </c>
      <c r="F28" s="41">
        <f>E28+Model!E92</f>
        <v>283269.96680138988</v>
      </c>
      <c r="G28" s="81">
        <v>3</v>
      </c>
      <c r="H28" s="7">
        <f>F28/Assumptions!$D$7/(1+Assumptions!$D$59)^G28</f>
        <v>205.27876521528509</v>
      </c>
      <c r="M28" s="71" t="s">
        <v>479</v>
      </c>
    </row>
    <row r="29" spans="1:13" x14ac:dyDescent="0.45">
      <c r="B29" s="9" t="s">
        <v>480</v>
      </c>
      <c r="C29" s="19">
        <f>Model!I32</f>
        <v>14.637857447173653</v>
      </c>
      <c r="D29" s="111">
        <v>30</v>
      </c>
      <c r="G29" s="81">
        <v>4</v>
      </c>
      <c r="H29" s="7">
        <f>C29*D29/(1+Assumptions!$D$59)^G29</f>
        <v>272.59455787488508</v>
      </c>
      <c r="M29" s="71" t="s">
        <v>481</v>
      </c>
    </row>
    <row r="30" spans="1:13" x14ac:dyDescent="0.45">
      <c r="B30" s="5" t="s">
        <v>482</v>
      </c>
      <c r="H30" s="17">
        <f>AVERAGE(H27:H29)</f>
        <v>266.94481344729326</v>
      </c>
    </row>
    <row r="31" spans="1:13" x14ac:dyDescent="0.45">
      <c r="B31" s="5" t="s">
        <v>483</v>
      </c>
      <c r="H31" s="82">
        <f>H30</f>
        <v>266.94481344729326</v>
      </c>
    </row>
    <row r="32" spans="1:13" x14ac:dyDescent="0.45">
      <c r="B32" s="9" t="s">
        <v>484</v>
      </c>
      <c r="H32" s="33">
        <f>H31/Assumptions!$D$6-1</f>
        <v>9.9126336918076596E-2</v>
      </c>
    </row>
    <row r="34" spans="2:2" x14ac:dyDescent="0.45">
      <c r="B34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F2937"/>
    <pageSetUpPr fitToPage="1"/>
  </sheetPr>
  <dimension ref="A1:M44"/>
  <sheetViews>
    <sheetView showGridLines="0" zoomScale="78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17" sqref="F17"/>
    </sheetView>
  </sheetViews>
  <sheetFormatPr defaultColWidth="8.6640625" defaultRowHeight="14.25" x14ac:dyDescent="0.45"/>
  <cols>
    <col min="1" max="1" width="2.9296875" customWidth="1"/>
    <col min="2" max="2" width="52" customWidth="1"/>
    <col min="3" max="3" width="11" customWidth="1"/>
    <col min="4" max="12" width="13" customWidth="1"/>
    <col min="13" max="13" width="14" customWidth="1"/>
  </cols>
  <sheetData>
    <row r="1" spans="1:13" ht="15" customHeight="1" x14ac:dyDescent="0.45">
      <c r="B1" s="47"/>
    </row>
    <row r="2" spans="1:13" ht="19.5" customHeight="1" x14ac:dyDescent="0.45">
      <c r="B2" s="1" t="s">
        <v>485</v>
      </c>
    </row>
    <row r="3" spans="1:13" ht="15" customHeight="1" x14ac:dyDescent="0.45">
      <c r="B3" s="2" t="s">
        <v>486</v>
      </c>
    </row>
    <row r="5" spans="1:13" ht="15" customHeight="1" x14ac:dyDescent="0.45">
      <c r="A5" t="s">
        <v>2</v>
      </c>
      <c r="B5" s="3" t="s">
        <v>487</v>
      </c>
      <c r="C5" s="12" t="s">
        <v>49</v>
      </c>
      <c r="D5" s="12" t="s">
        <v>25</v>
      </c>
      <c r="E5" s="12" t="s">
        <v>26</v>
      </c>
      <c r="F5" s="12" t="s">
        <v>27</v>
      </c>
      <c r="G5" s="12" t="s">
        <v>148</v>
      </c>
      <c r="H5" s="12" t="s">
        <v>149</v>
      </c>
      <c r="I5" s="12" t="s">
        <v>150</v>
      </c>
      <c r="J5" s="12" t="s">
        <v>151</v>
      </c>
      <c r="K5" s="12" t="s">
        <v>152</v>
      </c>
      <c r="L5" s="12" t="s">
        <v>153</v>
      </c>
      <c r="M5" s="12" t="s">
        <v>488</v>
      </c>
    </row>
    <row r="6" spans="1:13" ht="15" customHeight="1" x14ac:dyDescent="0.45">
      <c r="A6" t="s">
        <v>2</v>
      </c>
      <c r="B6" s="25" t="s">
        <v>489</v>
      </c>
    </row>
    <row r="7" spans="1:13" ht="15" customHeight="1" x14ac:dyDescent="0.45">
      <c r="B7" s="9" t="s">
        <v>490</v>
      </c>
      <c r="C7" s="37" t="s">
        <v>164</v>
      </c>
      <c r="D7" s="50">
        <v>3600</v>
      </c>
      <c r="E7" s="50">
        <v>4900</v>
      </c>
      <c r="F7" s="50">
        <v>6200</v>
      </c>
      <c r="G7" s="50">
        <v>7300</v>
      </c>
      <c r="H7" s="50">
        <v>8200</v>
      </c>
      <c r="I7" s="50">
        <v>9000</v>
      </c>
      <c r="J7" s="50">
        <v>9600</v>
      </c>
      <c r="K7" s="50">
        <v>10200</v>
      </c>
      <c r="L7" s="50">
        <v>10700</v>
      </c>
    </row>
    <row r="8" spans="1:13" ht="15" customHeight="1" x14ac:dyDescent="0.45">
      <c r="B8" s="9" t="s">
        <v>211</v>
      </c>
      <c r="C8" s="37" t="s">
        <v>166</v>
      </c>
      <c r="D8" s="51">
        <v>8.9</v>
      </c>
      <c r="E8" s="51">
        <v>9.9</v>
      </c>
      <c r="F8" s="51">
        <v>10.9</v>
      </c>
      <c r="G8" s="51">
        <v>11.8</v>
      </c>
      <c r="H8" s="51">
        <v>12.6</v>
      </c>
      <c r="I8" s="51">
        <v>13.3</v>
      </c>
      <c r="J8" s="51">
        <v>13.9</v>
      </c>
      <c r="K8" s="51">
        <v>14.4</v>
      </c>
      <c r="L8" s="51">
        <v>14.9</v>
      </c>
    </row>
    <row r="9" spans="1:13" ht="15" customHeight="1" x14ac:dyDescent="0.45">
      <c r="B9" s="9" t="s">
        <v>491</v>
      </c>
      <c r="C9" s="37" t="s">
        <v>58</v>
      </c>
      <c r="D9" s="41">
        <f>(Assumptions!$E$14+D7)/2*365*D8/100</f>
        <v>95830.75</v>
      </c>
      <c r="E9" s="41">
        <f t="shared" ref="E9:L9" si="0">(D7+E7)/2*365*E8/100</f>
        <v>153573.75</v>
      </c>
      <c r="F9" s="41">
        <f t="shared" si="0"/>
        <v>220806.75</v>
      </c>
      <c r="G9" s="41">
        <f t="shared" si="0"/>
        <v>290722.5</v>
      </c>
      <c r="H9" s="41">
        <f t="shared" si="0"/>
        <v>356422.5</v>
      </c>
      <c r="I9" s="41">
        <f t="shared" si="0"/>
        <v>417487</v>
      </c>
      <c r="J9" s="41">
        <f t="shared" si="0"/>
        <v>471835.5</v>
      </c>
      <c r="K9" s="41">
        <f t="shared" si="0"/>
        <v>520344</v>
      </c>
      <c r="L9" s="41">
        <f t="shared" si="0"/>
        <v>568323.25</v>
      </c>
    </row>
    <row r="10" spans="1:13" ht="15" customHeight="1" x14ac:dyDescent="0.45">
      <c r="B10" s="9" t="s">
        <v>492</v>
      </c>
      <c r="C10" s="37" t="s">
        <v>60</v>
      </c>
      <c r="D10" s="52">
        <v>2.4E-2</v>
      </c>
      <c r="E10" s="52">
        <v>0.04</v>
      </c>
      <c r="F10" s="52">
        <v>5.1999999999999998E-2</v>
      </c>
      <c r="G10" s="52">
        <v>5.8999999999999997E-2</v>
      </c>
      <c r="H10" s="52">
        <v>6.3E-2</v>
      </c>
      <c r="I10" s="52">
        <v>6.5000000000000002E-2</v>
      </c>
      <c r="J10" s="52">
        <v>6.5000000000000002E-2</v>
      </c>
      <c r="K10" s="52">
        <v>6.5000000000000002E-2</v>
      </c>
      <c r="L10" s="52">
        <v>6.5000000000000002E-2</v>
      </c>
    </row>
    <row r="11" spans="1:13" ht="15" customHeight="1" x14ac:dyDescent="0.45">
      <c r="B11" s="5" t="s">
        <v>493</v>
      </c>
      <c r="C11" s="37" t="s">
        <v>58</v>
      </c>
      <c r="D11" s="35">
        <f>D9*D10+(RevBuild!F44-RevBuild!F16)</f>
        <v>4670.2331999999988</v>
      </c>
      <c r="E11" s="35">
        <f>E9*E10+(RevBuild!G44-RevBuild!G16)</f>
        <v>9789.9211599999981</v>
      </c>
      <c r="F11" s="35">
        <f>F9*F10+(RevBuild!H44-RevBuild!H16)</f>
        <v>16518.167600399996</v>
      </c>
      <c r="G11" s="35">
        <f>G9*G10+(RevBuild!I44-RevBuild!I16)</f>
        <v>23833.803334386997</v>
      </c>
      <c r="H11" s="35">
        <f>H9*H10+(RevBuild!J44-RevBuild!J16)</f>
        <v>30425.959351361787</v>
      </c>
      <c r="I11" s="35">
        <f>I9*I10+(RevBuild!K44-RevBuild!K16)</f>
        <v>36326.651428013472</v>
      </c>
      <c r="J11" s="35">
        <f>J9*J10+(RevBuild!L44-RevBuild!L16)</f>
        <v>40891.273065943227</v>
      </c>
      <c r="K11" s="35">
        <f>K9*K10+(RevBuild!M44-RevBuild!M16)</f>
        <v>45053.303770211453</v>
      </c>
      <c r="L11" s="35">
        <f>L9*L10+(RevBuild!N44-RevBuild!N16)</f>
        <v>49200.615421880218</v>
      </c>
    </row>
    <row r="12" spans="1:13" ht="15" customHeight="1" x14ac:dyDescent="0.45">
      <c r="B12" s="9" t="s">
        <v>494</v>
      </c>
      <c r="C12" s="37" t="s">
        <v>58</v>
      </c>
      <c r="D12" s="41">
        <f>DCF!F13*D11/RevBuild!F44</f>
        <v>3687.09592087175</v>
      </c>
      <c r="E12" s="41">
        <f>DCF!G13*E11/RevBuild!G44</f>
        <v>7457.1968872067109</v>
      </c>
      <c r="F12" s="41">
        <f>DCF!H13*F11/RevBuild!H44</f>
        <v>13284.945117491267</v>
      </c>
      <c r="G12" s="41">
        <f>DCF!I13*G11/RevBuild!I44</f>
        <v>18642.006586503863</v>
      </c>
      <c r="H12" s="41">
        <f>DCF!J13*H11/RevBuild!J44</f>
        <v>22716.602305821514</v>
      </c>
      <c r="I12" s="41">
        <f>DCF!K13*I11/RevBuild!K44</f>
        <v>26888.621541432207</v>
      </c>
      <c r="J12" s="41">
        <f>DCF!L13*J11/RevBuild!L44</f>
        <v>30069.082685331025</v>
      </c>
      <c r="K12" s="41">
        <f>DCF!M13*K11/RevBuild!M44</f>
        <v>32936.851132956021</v>
      </c>
      <c r="L12" s="41">
        <f>DCF!N13*L11/RevBuild!N44</f>
        <v>35777.650939411658</v>
      </c>
    </row>
    <row r="13" spans="1:13" ht="15" customHeight="1" x14ac:dyDescent="0.45">
      <c r="B13" s="9" t="s">
        <v>495</v>
      </c>
      <c r="D13" s="14">
        <v>0.11600000000000001</v>
      </c>
      <c r="E13" s="14">
        <v>7.0000000000000007E-2</v>
      </c>
      <c r="K13" s="7"/>
      <c r="M13" s="7">
        <f>(D12/(1+$D$13)^1+E12/(1+$D$13)^2+F12/(1+$D$13)^3+G12/(1+$D$13)^4+H12/(1+$D$13)^5+I12/(1+$D$13)^6+J12/(1+$D$13)^7+K12/(1+$D$13)^8+L12/(1+$D$13)^9+L12*(1+$E$13)/($D$13-$E$13)/(1+$D$13)^9+DCF!$N$33)/DCF!$N$37</f>
        <v>443.20116574687643</v>
      </c>
    </row>
    <row r="14" spans="1:13" ht="15" customHeight="1" x14ac:dyDescent="0.45">
      <c r="B14" s="9" t="s">
        <v>484</v>
      </c>
      <c r="K14" s="73"/>
      <c r="M14" s="73">
        <f>M13/Assumptions!$D$6-1</f>
        <v>0.82484936693241817</v>
      </c>
    </row>
    <row r="16" spans="1:13" ht="15" customHeight="1" x14ac:dyDescent="0.45">
      <c r="A16" t="s">
        <v>2</v>
      </c>
      <c r="B16" s="25" t="s">
        <v>496</v>
      </c>
    </row>
    <row r="17" spans="1:13" ht="15" customHeight="1" x14ac:dyDescent="0.45">
      <c r="B17" s="9" t="s">
        <v>490</v>
      </c>
      <c r="C17" s="37" t="s">
        <v>164</v>
      </c>
      <c r="D17" s="10">
        <f>Assumptions!F14</f>
        <v>3300</v>
      </c>
      <c r="E17" s="10">
        <f>Assumptions!G14</f>
        <v>4300</v>
      </c>
      <c r="F17" s="10">
        <f>Assumptions!H14</f>
        <v>5200</v>
      </c>
      <c r="G17" s="10">
        <f>Assumptions!I14</f>
        <v>6000</v>
      </c>
      <c r="H17" s="10">
        <f>Assumptions!J14</f>
        <v>6700</v>
      </c>
      <c r="I17" s="10">
        <f>Assumptions!K14</f>
        <v>7300</v>
      </c>
      <c r="J17" s="10">
        <f>Assumptions!L14</f>
        <v>7800</v>
      </c>
      <c r="K17" s="10">
        <f>Assumptions!M14</f>
        <v>8200</v>
      </c>
      <c r="L17" s="10">
        <f>Assumptions!N14</f>
        <v>8500</v>
      </c>
    </row>
    <row r="18" spans="1:13" ht="15" customHeight="1" x14ac:dyDescent="0.45">
      <c r="B18" s="9" t="s">
        <v>211</v>
      </c>
      <c r="C18" s="37" t="s">
        <v>166</v>
      </c>
      <c r="D18" s="19">
        <f>Assumptions!F15</f>
        <v>7.9</v>
      </c>
      <c r="E18" s="19">
        <f>Assumptions!G15</f>
        <v>8.5</v>
      </c>
      <c r="F18" s="19">
        <f>Assumptions!H15</f>
        <v>9.15</v>
      </c>
      <c r="G18" s="19">
        <f>Assumptions!I15</f>
        <v>9.8000000000000007</v>
      </c>
      <c r="H18" s="19">
        <f>Assumptions!J15</f>
        <v>10.4</v>
      </c>
      <c r="I18" s="19">
        <f>Assumptions!K15</f>
        <v>10.95</v>
      </c>
      <c r="J18" s="19">
        <f>Assumptions!L15</f>
        <v>11.45</v>
      </c>
      <c r="K18" s="19">
        <f>Assumptions!M15</f>
        <v>11.9</v>
      </c>
      <c r="L18" s="19">
        <f>Assumptions!N15</f>
        <v>12.3</v>
      </c>
    </row>
    <row r="19" spans="1:13" ht="15" customHeight="1" x14ac:dyDescent="0.45">
      <c r="B19" s="9" t="s">
        <v>491</v>
      </c>
      <c r="C19" s="37" t="s">
        <v>58</v>
      </c>
      <c r="D19" s="41">
        <f>(Assumptions!$E$14+D17)/2*365*D18/100</f>
        <v>80738</v>
      </c>
      <c r="E19" s="41">
        <f t="shared" ref="E19:L19" si="1">(D17+E17)/2*365*E18/100</f>
        <v>117895</v>
      </c>
      <c r="F19" s="41">
        <f t="shared" si="1"/>
        <v>158638.125</v>
      </c>
      <c r="G19" s="41">
        <f t="shared" si="1"/>
        <v>200312</v>
      </c>
      <c r="H19" s="41">
        <f t="shared" si="1"/>
        <v>241046</v>
      </c>
      <c r="I19" s="41">
        <f t="shared" si="1"/>
        <v>279772.5</v>
      </c>
      <c r="J19" s="41">
        <f t="shared" si="1"/>
        <v>315533.37499999994</v>
      </c>
      <c r="K19" s="41">
        <f t="shared" si="1"/>
        <v>347480</v>
      </c>
      <c r="L19" s="41">
        <f t="shared" si="1"/>
        <v>374873.25</v>
      </c>
    </row>
    <row r="20" spans="1:13" ht="15" customHeight="1" x14ac:dyDescent="0.45">
      <c r="B20" s="9" t="s">
        <v>492</v>
      </c>
      <c r="C20" s="37" t="s">
        <v>60</v>
      </c>
      <c r="D20" s="57">
        <f>Assumptions!F17</f>
        <v>0.02</v>
      </c>
      <c r="E20" s="57">
        <f>Assumptions!G17</f>
        <v>3.4000000000000002E-2</v>
      </c>
      <c r="F20" s="57">
        <f>Assumptions!H17</f>
        <v>4.3999999999999997E-2</v>
      </c>
      <c r="G20" s="57">
        <f>Assumptions!I17</f>
        <v>5.0999999999999997E-2</v>
      </c>
      <c r="H20" s="57">
        <f>Assumptions!J17</f>
        <v>5.5E-2</v>
      </c>
      <c r="I20" s="57">
        <f>Assumptions!K17</f>
        <v>5.8000000000000003E-2</v>
      </c>
      <c r="J20" s="57">
        <f>Assumptions!L17</f>
        <v>0.06</v>
      </c>
      <c r="K20" s="57">
        <f>Assumptions!M17</f>
        <v>6.2E-2</v>
      </c>
      <c r="L20" s="57">
        <f>Assumptions!N17</f>
        <v>6.4000000000000001E-2</v>
      </c>
    </row>
    <row r="21" spans="1:13" ht="15" customHeight="1" x14ac:dyDescent="0.45">
      <c r="B21" s="5" t="s">
        <v>493</v>
      </c>
      <c r="C21" s="37" t="s">
        <v>58</v>
      </c>
      <c r="D21" s="35">
        <f>D19*D20+(RevBuild!F44-RevBuild!F16)</f>
        <v>3985.0551999999989</v>
      </c>
      <c r="E21" s="35">
        <f>E19*E20+(RevBuild!G44-RevBuild!G16)</f>
        <v>7655.4011599999994</v>
      </c>
      <c r="F21" s="35">
        <f>F19*F20+(RevBuild!H44-RevBuild!H16)</f>
        <v>12016.294100399999</v>
      </c>
      <c r="G21" s="35">
        <f>G19*G20+(RevBuild!I44-RevBuild!I16)</f>
        <v>16897.087834386999</v>
      </c>
      <c r="H21" s="35">
        <f>H19*H20+(RevBuild!J44-RevBuild!J16)</f>
        <v>21228.871851361786</v>
      </c>
      <c r="I21" s="35">
        <f>I19*I20+(RevBuild!K44-RevBuild!K16)</f>
        <v>25416.801428013474</v>
      </c>
      <c r="J21" s="35">
        <f>J19*J20+(RevBuild!L44-RevBuild!L16)</f>
        <v>29153.96806594322</v>
      </c>
      <c r="K21" s="35">
        <f>K19*K20+(RevBuild!M44-RevBuild!M16)</f>
        <v>32774.703770211454</v>
      </c>
      <c r="L21" s="35">
        <f>L19*L20+(RevBuild!N44-RevBuild!N16)</f>
        <v>36251.492171880214</v>
      </c>
    </row>
    <row r="22" spans="1:13" ht="15" customHeight="1" x14ac:dyDescent="0.45">
      <c r="B22" s="9" t="s">
        <v>494</v>
      </c>
      <c r="C22" s="37" t="s">
        <v>58</v>
      </c>
      <c r="D22" s="41">
        <f>DCF!F13*D21/RevBuild!F44</f>
        <v>3146.1556935462572</v>
      </c>
      <c r="E22" s="41">
        <f>DCF!G13*E21/RevBuild!G44</f>
        <v>5831.2863574348385</v>
      </c>
      <c r="F22" s="41">
        <f>DCF!H13*F21/RevBuild!H44</f>
        <v>9664.2564418333186</v>
      </c>
      <c r="G22" s="41">
        <f>DCF!I13*G21/RevBuild!I44</f>
        <v>13216.33892341918</v>
      </c>
      <c r="H22" s="41">
        <f>DCF!J13*H21/RevBuild!J44</f>
        <v>15849.881138655055</v>
      </c>
      <c r="I22" s="41">
        <f>DCF!K13*I21/RevBuild!K44</f>
        <v>18813.260444494568</v>
      </c>
      <c r="J22" s="41">
        <f>DCF!L13*J21/RevBuild!L44</f>
        <v>21438.145859793764</v>
      </c>
      <c r="K22" s="41">
        <f>DCF!M13*K21/RevBuild!M44</f>
        <v>23960.407976116792</v>
      </c>
      <c r="L22" s="41">
        <f>DCF!N13*L21/RevBuild!N44</f>
        <v>26361.321333829354</v>
      </c>
    </row>
    <row r="23" spans="1:13" ht="15" customHeight="1" x14ac:dyDescent="0.45">
      <c r="B23" s="9" t="s">
        <v>495</v>
      </c>
      <c r="D23" s="64">
        <f>Assumptions!$D$59</f>
        <v>0.12660168568962976</v>
      </c>
      <c r="E23" s="64">
        <f>Assumptions!$D$60</f>
        <v>6.5000000000000002E-2</v>
      </c>
      <c r="K23" s="7"/>
      <c r="M23" s="7">
        <f>(D22/(1+$D$23)^1+E22/(1+$D$23)^2+F22/(1+$D$23)^3+G22/(1+$D$23)^4+H22/(1+$D$23)^5+I22/(1+$D$23)^6+J22/(1+$D$23)^7+K22/(1+$D$23)^8+L22/(1+$D$23)^9+L22*(1+$E$23)/($D$23-$E$23)/(1+$D$23)^9+DCF!$N$33)/DCF!$N$37</f>
        <v>251.42107407401613</v>
      </c>
    </row>
    <row r="24" spans="1:13" ht="15" customHeight="1" x14ac:dyDescent="0.45">
      <c r="B24" s="9" t="s">
        <v>484</v>
      </c>
      <c r="K24" s="73"/>
      <c r="M24" s="73">
        <f>M23/Assumptions!$D$6-1</f>
        <v>3.520844103436449E-2</v>
      </c>
    </row>
    <row r="26" spans="1:13" ht="15" customHeight="1" x14ac:dyDescent="0.45">
      <c r="A26" t="s">
        <v>2</v>
      </c>
      <c r="B26" s="25" t="s">
        <v>497</v>
      </c>
    </row>
    <row r="27" spans="1:13" ht="15" customHeight="1" x14ac:dyDescent="0.45">
      <c r="B27" s="9" t="s">
        <v>490</v>
      </c>
      <c r="C27" s="37" t="s">
        <v>164</v>
      </c>
      <c r="D27" s="50">
        <v>3000</v>
      </c>
      <c r="E27" s="50">
        <v>3600</v>
      </c>
      <c r="F27" s="50">
        <v>4100</v>
      </c>
      <c r="G27" s="50">
        <v>4500</v>
      </c>
      <c r="H27" s="50">
        <v>4800</v>
      </c>
      <c r="I27" s="50">
        <v>5000</v>
      </c>
      <c r="J27" s="50">
        <v>5150</v>
      </c>
      <c r="K27" s="50">
        <v>5250</v>
      </c>
      <c r="L27" s="50">
        <v>5300</v>
      </c>
    </row>
    <row r="28" spans="1:13" ht="15" customHeight="1" x14ac:dyDescent="0.45">
      <c r="B28" s="9" t="s">
        <v>211</v>
      </c>
      <c r="C28" s="37" t="s">
        <v>166</v>
      </c>
      <c r="D28" s="51">
        <v>8.1999999999999993</v>
      </c>
      <c r="E28" s="51">
        <v>8.4</v>
      </c>
      <c r="F28" s="51">
        <v>8.6999999999999993</v>
      </c>
      <c r="G28" s="51">
        <v>9</v>
      </c>
      <c r="H28" s="51">
        <v>9.3000000000000007</v>
      </c>
      <c r="I28" s="51">
        <v>9.5500000000000007</v>
      </c>
      <c r="J28" s="51">
        <v>9.8000000000000007</v>
      </c>
      <c r="K28" s="51">
        <v>10</v>
      </c>
      <c r="L28" s="51">
        <v>10.199999999999999</v>
      </c>
    </row>
    <row r="29" spans="1:13" ht="15" customHeight="1" x14ac:dyDescent="0.45">
      <c r="B29" s="9" t="s">
        <v>491</v>
      </c>
      <c r="C29" s="37" t="s">
        <v>58</v>
      </c>
      <c r="D29" s="41">
        <f>(Assumptions!$E$14+D27)/2*365*D28/100</f>
        <v>79314.499999999985</v>
      </c>
      <c r="E29" s="41">
        <f t="shared" ref="E29:L29" si="2">(D27+E27)/2*365*E28/100</f>
        <v>101178</v>
      </c>
      <c r="F29" s="41">
        <f t="shared" si="2"/>
        <v>122256.74999999999</v>
      </c>
      <c r="G29" s="41">
        <f t="shared" si="2"/>
        <v>141255</v>
      </c>
      <c r="H29" s="41">
        <f t="shared" si="2"/>
        <v>157844.25000000003</v>
      </c>
      <c r="I29" s="41">
        <f t="shared" si="2"/>
        <v>170801.75</v>
      </c>
      <c r="J29" s="41">
        <f t="shared" si="2"/>
        <v>181532.75</v>
      </c>
      <c r="K29" s="41">
        <f t="shared" si="2"/>
        <v>189800</v>
      </c>
      <c r="L29" s="41">
        <f t="shared" si="2"/>
        <v>196388.25</v>
      </c>
    </row>
    <row r="30" spans="1:13" ht="15" customHeight="1" x14ac:dyDescent="0.45">
      <c r="B30" s="9" t="s">
        <v>492</v>
      </c>
      <c r="C30" s="37" t="s">
        <v>60</v>
      </c>
      <c r="D30" s="52">
        <v>8.0000000000000002E-3</v>
      </c>
      <c r="E30" s="52">
        <v>1.4999999999999999E-2</v>
      </c>
      <c r="F30" s="52">
        <v>2.1999999999999999E-2</v>
      </c>
      <c r="G30" s="52">
        <v>2.8000000000000001E-2</v>
      </c>
      <c r="H30" s="52">
        <v>3.2000000000000001E-2</v>
      </c>
      <c r="I30" s="52">
        <v>3.5000000000000003E-2</v>
      </c>
      <c r="J30" s="52">
        <v>3.5999999999999997E-2</v>
      </c>
      <c r="K30" s="52">
        <v>3.6999999999999998E-2</v>
      </c>
      <c r="L30" s="52">
        <v>3.6999999999999998E-2</v>
      </c>
    </row>
    <row r="31" spans="1:13" ht="15" customHeight="1" x14ac:dyDescent="0.45">
      <c r="B31" s="5" t="s">
        <v>493</v>
      </c>
      <c r="C31" s="37" t="s">
        <v>58</v>
      </c>
      <c r="D31" s="35">
        <f>D29*D30+(RevBuild!F44-RevBuild!F16)</f>
        <v>3004.8111999999983</v>
      </c>
      <c r="E31" s="35">
        <f>E29*E30+(RevBuild!G44-RevBuild!G16)</f>
        <v>5164.6411599999992</v>
      </c>
      <c r="F31" s="35">
        <f>F29*F30+(RevBuild!H44-RevBuild!H16)</f>
        <v>7725.8651003999985</v>
      </c>
      <c r="G31" s="35">
        <f>G29*G30+(RevBuild!I44-RevBuild!I16)</f>
        <v>10636.315834387</v>
      </c>
      <c r="H31" s="35">
        <f>H29*H30+(RevBuild!J44-RevBuild!J16)</f>
        <v>13022.357851361787</v>
      </c>
      <c r="I31" s="35">
        <f>I29*I30+(RevBuild!K44-RevBuild!K16)</f>
        <v>15168.057678013474</v>
      </c>
      <c r="J31" s="35">
        <f>J29*J30+(RevBuild!L44-RevBuild!L16)</f>
        <v>16757.144565943225</v>
      </c>
      <c r="K31" s="35">
        <f>K29*K30+(RevBuild!M44-RevBuild!M16)</f>
        <v>18253.543770211454</v>
      </c>
      <c r="L31" s="35">
        <f>L29*L30+(RevBuild!N44-RevBuild!N16)</f>
        <v>19525.969421880214</v>
      </c>
    </row>
    <row r="32" spans="1:13" ht="15" customHeight="1" x14ac:dyDescent="0.45">
      <c r="B32" s="9" t="s">
        <v>494</v>
      </c>
      <c r="C32" s="37" t="s">
        <v>58</v>
      </c>
      <c r="D32" s="41">
        <f>DCF!F13*D31/RevBuild!F44</f>
        <v>2372.2642198059289</v>
      </c>
      <c r="E32" s="41">
        <f>DCF!G13*E31/RevBuild!G44</f>
        <v>3934.0200347325022</v>
      </c>
      <c r="F32" s="41">
        <f>DCF!H13*F31/RevBuild!H44</f>
        <v>6213.6246784098321</v>
      </c>
      <c r="G32" s="41">
        <f>DCF!I13*G31/RevBuild!I44</f>
        <v>8319.3717368096077</v>
      </c>
      <c r="H32" s="41">
        <f>DCF!J13*H31/RevBuild!J44</f>
        <v>9722.7410638816145</v>
      </c>
      <c r="I32" s="41">
        <f>DCF!K13*I31/RevBuild!K44</f>
        <v>11227.243535808127</v>
      </c>
      <c r="J32" s="41">
        <f>DCF!L13*J31/RevBuild!L44</f>
        <v>12322.237185201453</v>
      </c>
      <c r="K32" s="41">
        <f>DCF!M13*K31/RevBuild!M44</f>
        <v>13344.509802760904</v>
      </c>
      <c r="L32" s="41">
        <f>DCF!N13*L31/RevBuild!N44</f>
        <v>14198.873575857377</v>
      </c>
    </row>
    <row r="33" spans="1:13" ht="15" customHeight="1" x14ac:dyDescent="0.45">
      <c r="B33" s="9" t="s">
        <v>495</v>
      </c>
      <c r="D33" s="14">
        <v>0.13600000000000001</v>
      </c>
      <c r="E33" s="14">
        <v>0.06</v>
      </c>
      <c r="K33" s="7"/>
      <c r="M33" s="7">
        <f>(D32/(1+$D$33)^1+E32/(1+$D$33)^2+F32/(1+$D$33)^3+G32/(1+$D$33)^4+H32/(1+$D$33)^5+I32/(1+$D$33)^6+J32/(1+$D$33)^7+K32/(1+$D$33)^8+L32/(1+$D$33)^9+L32*(1+$E$33)/($D$33-$E$33)/(1+$D$33)^9+DCF!$N$33)/DCF!$N$37</f>
        <v>125.24426634943239</v>
      </c>
    </row>
    <row r="34" spans="1:13" ht="15" customHeight="1" x14ac:dyDescent="0.45">
      <c r="B34" s="9" t="s">
        <v>484</v>
      </c>
      <c r="K34" s="73"/>
      <c r="M34" s="73">
        <f>M33/Assumptions!$D$6-1</f>
        <v>-0.48431561596972705</v>
      </c>
    </row>
    <row r="36" spans="1:13" ht="15" customHeight="1" x14ac:dyDescent="0.45">
      <c r="A36" t="s">
        <v>2</v>
      </c>
      <c r="B36" s="25" t="s">
        <v>498</v>
      </c>
    </row>
    <row r="37" spans="1:13" ht="15" customHeight="1" x14ac:dyDescent="0.45">
      <c r="D37" s="12" t="s">
        <v>13</v>
      </c>
      <c r="E37" s="12" t="s">
        <v>499</v>
      </c>
      <c r="F37" s="12" t="s">
        <v>500</v>
      </c>
      <c r="G37" s="12" t="s">
        <v>501</v>
      </c>
    </row>
    <row r="38" spans="1:13" ht="15" customHeight="1" x14ac:dyDescent="0.45">
      <c r="B38" s="5" t="s">
        <v>502</v>
      </c>
      <c r="D38" s="68">
        <f>M13</f>
        <v>443.20116574687643</v>
      </c>
      <c r="E38" s="33">
        <f>D38/Assumptions!$D$6-1</f>
        <v>0.82484936693241817</v>
      </c>
      <c r="F38" s="52">
        <v>0.25</v>
      </c>
      <c r="G38" s="15">
        <f>D38*F38</f>
        <v>110.80029143671911</v>
      </c>
    </row>
    <row r="39" spans="1:13" ht="15" customHeight="1" x14ac:dyDescent="0.45">
      <c r="B39" s="5" t="s">
        <v>503</v>
      </c>
      <c r="D39" s="68">
        <f>M23</f>
        <v>251.42107407401613</v>
      </c>
      <c r="E39" s="33">
        <f>D39/Assumptions!$D$6-1</f>
        <v>3.520844103436449E-2</v>
      </c>
      <c r="F39" s="52">
        <v>0.5</v>
      </c>
      <c r="G39" s="15">
        <f>D39*F39</f>
        <v>125.71053703700807</v>
      </c>
    </row>
    <row r="40" spans="1:13" ht="15" customHeight="1" x14ac:dyDescent="0.45">
      <c r="B40" s="5" t="s">
        <v>504</v>
      </c>
      <c r="D40" s="68">
        <f>M33</f>
        <v>125.24426634943239</v>
      </c>
      <c r="E40" s="33">
        <f>D40/Assumptions!$D$6-1</f>
        <v>-0.48431561596972705</v>
      </c>
      <c r="F40" s="52">
        <v>0.25</v>
      </c>
      <c r="G40" s="15">
        <f>D40*F40</f>
        <v>31.311066587358098</v>
      </c>
    </row>
    <row r="41" spans="1:13" ht="15" customHeight="1" x14ac:dyDescent="0.45">
      <c r="B41" s="5" t="s">
        <v>505</v>
      </c>
      <c r="G41" s="76">
        <f>SUM(G38:G40)</f>
        <v>267.82189506108529</v>
      </c>
    </row>
    <row r="42" spans="1:13" ht="15" customHeight="1" x14ac:dyDescent="0.45">
      <c r="B42" s="5" t="s">
        <v>506</v>
      </c>
      <c r="F42" s="70">
        <f>SUM(F38:F40)</f>
        <v>1</v>
      </c>
    </row>
    <row r="44" spans="1:13" ht="49.5" customHeight="1" x14ac:dyDescent="0.45">
      <c r="B44" s="24"/>
    </row>
  </sheetData>
  <pageMargins left="0.75" right="0.75" top="1" bottom="1" header="0.511811023622047" footer="0.511811023622047"/>
  <pageSetup paperSize="9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F2937"/>
    <pageSetUpPr fitToPage="1"/>
  </sheetPr>
  <dimension ref="A1:F28"/>
  <sheetViews>
    <sheetView showGridLines="0" topLeftCell="A6" zoomScaleNormal="100" workbookViewId="0">
      <selection activeCell="D21" sqref="D21"/>
    </sheetView>
  </sheetViews>
  <sheetFormatPr defaultColWidth="8.6640625" defaultRowHeight="14.25" x14ac:dyDescent="0.45"/>
  <cols>
    <col min="1" max="1" width="2.9296875" customWidth="1"/>
    <col min="2" max="2" width="52" customWidth="1"/>
    <col min="3" max="3" width="11" customWidth="1"/>
    <col min="4" max="12" width="14" customWidth="1"/>
  </cols>
  <sheetData>
    <row r="1" spans="1:6" ht="15" customHeight="1" x14ac:dyDescent="0.45">
      <c r="B1" s="47"/>
    </row>
    <row r="2" spans="1:6" x14ac:dyDescent="0.45">
      <c r="B2" s="1" t="s">
        <v>344</v>
      </c>
    </row>
    <row r="4" spans="1:6" ht="15" customHeight="1" x14ac:dyDescent="0.45">
      <c r="A4" t="s">
        <v>2</v>
      </c>
      <c r="B4" s="3" t="s">
        <v>345</v>
      </c>
      <c r="C4" s="12" t="s">
        <v>346</v>
      </c>
      <c r="D4" s="12" t="s">
        <v>347</v>
      </c>
      <c r="E4" s="12" t="s">
        <v>348</v>
      </c>
      <c r="F4" s="12" t="s">
        <v>349</v>
      </c>
    </row>
    <row r="5" spans="1:6" ht="15" customHeight="1" x14ac:dyDescent="0.45">
      <c r="B5" s="9" t="s">
        <v>350</v>
      </c>
      <c r="C5" s="36">
        <v>1.35</v>
      </c>
      <c r="D5" s="36">
        <v>0.05</v>
      </c>
      <c r="E5" s="44">
        <v>0.25</v>
      </c>
      <c r="F5" s="15">
        <f>C5/(1+(1-E5)*D5)</f>
        <v>1.3012048192771084</v>
      </c>
    </row>
    <row r="6" spans="1:6" ht="15" customHeight="1" x14ac:dyDescent="0.45">
      <c r="B6" s="9" t="s">
        <v>351</v>
      </c>
      <c r="C6" s="36">
        <v>0.72</v>
      </c>
      <c r="D6" s="36">
        <v>0.06</v>
      </c>
      <c r="E6" s="44">
        <v>0.255</v>
      </c>
      <c r="F6" s="15">
        <f>C6/(1+(1-E6)*D6)</f>
        <v>0.68919306978079831</v>
      </c>
    </row>
    <row r="7" spans="1:6" ht="15" customHeight="1" x14ac:dyDescent="0.45">
      <c r="B7" s="9" t="s">
        <v>352</v>
      </c>
      <c r="C7" s="36">
        <v>1.05</v>
      </c>
      <c r="D7" s="36">
        <v>0.1</v>
      </c>
      <c r="E7" s="44">
        <v>0.25</v>
      </c>
      <c r="F7" s="15">
        <f>C7/(1+(1-E7)*D7)</f>
        <v>0.9767441860465117</v>
      </c>
    </row>
    <row r="8" spans="1:6" ht="15" customHeight="1" x14ac:dyDescent="0.45">
      <c r="B8" s="9" t="s">
        <v>353</v>
      </c>
      <c r="C8" s="36">
        <v>0.95</v>
      </c>
      <c r="D8" s="36">
        <v>0.01</v>
      </c>
      <c r="E8" s="44">
        <v>0.25</v>
      </c>
      <c r="F8" s="15">
        <f>C8/(1+(1-E8)*D8)</f>
        <v>0.94292803970223316</v>
      </c>
    </row>
    <row r="9" spans="1:6" ht="15" customHeight="1" x14ac:dyDescent="0.45">
      <c r="B9" s="9" t="s">
        <v>354</v>
      </c>
      <c r="C9" s="36">
        <v>1.1499999999999999</v>
      </c>
      <c r="D9" s="36">
        <v>0.05</v>
      </c>
      <c r="E9" s="44">
        <v>0.25</v>
      </c>
      <c r="F9" s="15">
        <f>C9/(1+(1-E9)*D9)</f>
        <v>1.1084337349397588</v>
      </c>
    </row>
    <row r="10" spans="1:6" ht="15" customHeight="1" x14ac:dyDescent="0.45">
      <c r="B10" s="5" t="s">
        <v>355</v>
      </c>
      <c r="F10" s="63">
        <f>MEDIAN(F5:F9)</f>
        <v>0.9767441860465117</v>
      </c>
    </row>
    <row r="12" spans="1:6" ht="15" customHeight="1" x14ac:dyDescent="0.45">
      <c r="A12" t="s">
        <v>2</v>
      </c>
      <c r="B12" s="25" t="s">
        <v>356</v>
      </c>
    </row>
    <row r="13" spans="1:6" ht="15" customHeight="1" x14ac:dyDescent="0.45">
      <c r="B13" s="9" t="s">
        <v>357</v>
      </c>
      <c r="D13" s="14">
        <v>6.8000000000000005E-2</v>
      </c>
    </row>
    <row r="14" spans="1:6" ht="15" customHeight="1" x14ac:dyDescent="0.45">
      <c r="B14" s="9" t="s">
        <v>358</v>
      </c>
      <c r="D14" s="14">
        <v>0.06</v>
      </c>
    </row>
    <row r="15" spans="1:6" ht="15" customHeight="1" x14ac:dyDescent="0.45">
      <c r="B15" s="9" t="s">
        <v>359</v>
      </c>
      <c r="D15" s="64">
        <f>D24/D23</f>
        <v>2.0010302549596529E-2</v>
      </c>
    </row>
    <row r="16" spans="1:6" ht="15" customHeight="1" x14ac:dyDescent="0.45">
      <c r="B16" s="9" t="s">
        <v>360</v>
      </c>
      <c r="D16" s="65">
        <v>0.25</v>
      </c>
    </row>
    <row r="17" spans="1:4" ht="15" customHeight="1" x14ac:dyDescent="0.45">
      <c r="B17" s="9" t="s">
        <v>361</v>
      </c>
      <c r="D17" s="15">
        <f>F10*(1+(1-D16)*D15)</f>
        <v>0.99140289605377419</v>
      </c>
    </row>
    <row r="18" spans="1:4" ht="15" customHeight="1" x14ac:dyDescent="0.45">
      <c r="B18" s="5" t="s">
        <v>512</v>
      </c>
      <c r="D18" s="16">
        <f>D13+D17*D14</f>
        <v>0.12748417376322646</v>
      </c>
    </row>
    <row r="20" spans="1:4" ht="15" customHeight="1" x14ac:dyDescent="0.45">
      <c r="A20" t="s">
        <v>2</v>
      </c>
      <c r="B20" s="25" t="s">
        <v>362</v>
      </c>
    </row>
    <row r="21" spans="1:4" ht="15" customHeight="1" x14ac:dyDescent="0.45">
      <c r="B21" s="9" t="s">
        <v>513</v>
      </c>
      <c r="D21" s="18">
        <f>Assumptions!$E$42</f>
        <v>0.11</v>
      </c>
    </row>
    <row r="22" spans="1:4" ht="15" customHeight="1" x14ac:dyDescent="0.45">
      <c r="B22" s="9" t="s">
        <v>363</v>
      </c>
      <c r="D22" s="64">
        <f>D21*(1-D16)</f>
        <v>8.2500000000000004E-2</v>
      </c>
    </row>
    <row r="23" spans="1:4" ht="15" customHeight="1" x14ac:dyDescent="0.45">
      <c r="B23" s="9" t="s">
        <v>9</v>
      </c>
      <c r="D23" s="10">
        <f>Assumptions!$D$8</f>
        <v>234379.2648</v>
      </c>
    </row>
    <row r="24" spans="1:4" ht="15" customHeight="1" x14ac:dyDescent="0.45">
      <c r="B24" s="9" t="s">
        <v>364</v>
      </c>
      <c r="D24" s="10">
        <f>Model!E49</f>
        <v>4690</v>
      </c>
    </row>
    <row r="25" spans="1:4" ht="15" customHeight="1" x14ac:dyDescent="0.45">
      <c r="B25" s="9" t="s">
        <v>365</v>
      </c>
      <c r="D25" s="33">
        <f>D23/(D23+D24)</f>
        <v>0.98038225447372518</v>
      </c>
    </row>
    <row r="26" spans="1:4" ht="15" customHeight="1" x14ac:dyDescent="0.45">
      <c r="B26" s="9" t="s">
        <v>366</v>
      </c>
      <c r="D26" s="33">
        <f>D24/(D23+D24)</f>
        <v>1.9617745526274776E-2</v>
      </c>
    </row>
    <row r="28" spans="1:4" ht="15" customHeight="1" x14ac:dyDescent="0.45">
      <c r="B28" s="5" t="s">
        <v>367</v>
      </c>
      <c r="D28" s="66">
        <f>D25*D18+D26*D22</f>
        <v>0.12660168568962976</v>
      </c>
    </row>
  </sheetData>
  <pageMargins left="0.75" right="0.75" top="1" bottom="1" header="0.511811023622047" footer="0.511811023622047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F2937"/>
    <pageSetUpPr fitToPage="1"/>
  </sheetPr>
  <dimension ref="A1:G21"/>
  <sheetViews>
    <sheetView showGridLines="0" zoomScaleNormal="100" workbookViewId="0">
      <selection activeCell="D9" sqref="D9"/>
    </sheetView>
  </sheetViews>
  <sheetFormatPr defaultColWidth="8.6640625" defaultRowHeight="14.25" x14ac:dyDescent="0.45"/>
  <cols>
    <col min="1" max="1" width="2.86328125" customWidth="1"/>
    <col min="2" max="2" width="30" customWidth="1"/>
    <col min="3" max="12" width="14" customWidth="1"/>
  </cols>
  <sheetData>
    <row r="1" spans="1:7" ht="15" customHeight="1" x14ac:dyDescent="0.45">
      <c r="B1" s="47"/>
    </row>
    <row r="2" spans="1:7" ht="19.5" customHeight="1" x14ac:dyDescent="0.45">
      <c r="B2" s="1" t="s">
        <v>368</v>
      </c>
    </row>
    <row r="3" spans="1:7" ht="15" customHeight="1" x14ac:dyDescent="0.45">
      <c r="B3" s="2" t="s">
        <v>369</v>
      </c>
    </row>
    <row r="5" spans="1:7" ht="15" customHeight="1" x14ac:dyDescent="0.45">
      <c r="B5" s="27" t="s">
        <v>370</v>
      </c>
      <c r="C5" s="28"/>
      <c r="D5" s="28"/>
      <c r="E5" s="28"/>
      <c r="F5" s="28"/>
      <c r="G5" s="28"/>
    </row>
    <row r="6" spans="1:7" ht="15" customHeight="1" x14ac:dyDescent="0.45">
      <c r="A6" t="s">
        <v>2</v>
      </c>
      <c r="B6" s="3" t="s">
        <v>371</v>
      </c>
      <c r="C6" s="67">
        <v>5.5E-2</v>
      </c>
      <c r="D6" s="67">
        <v>0.06</v>
      </c>
      <c r="E6" s="67">
        <v>6.5000000000000002E-2</v>
      </c>
      <c r="F6" s="67">
        <v>7.0000000000000007E-2</v>
      </c>
      <c r="G6" s="67">
        <v>7.4999999999999997E-2</v>
      </c>
    </row>
    <row r="7" spans="1:7" ht="15" customHeight="1" x14ac:dyDescent="0.45">
      <c r="B7" s="64">
        <f>Assumptions!$D$59+-0.01</f>
        <v>0.11660168568962977</v>
      </c>
      <c r="C7" s="68">
        <f>(DCF!$F$13/(1+$B7)^1+DCF!$G$13/(1+$B7)^2+DCF!$H$13/(1+$B7)^3+DCF!$I$13/(1+$B7)^4+DCF!$J$13/(1+$B7)^5+DCF!$K$13/(1+$B7)^6+DCF!$L$13/(1+$B7)^7+DCF!$M$13/(1+$B7)^8+DCF!$N$13/(1+$B7)^9+DCF!$N$13*(1+C$6)/($B7-C$6)/(1+$B7)^9+DCF!$N$33)/DCF!$N$37</f>
        <v>266.9288688256492</v>
      </c>
      <c r="D7" s="68">
        <f>(DCF!$F$13/(1+$B7)^1+DCF!$G$13/(1+$B7)^2+DCF!$H$13/(1+$B7)^3+DCF!$I$13/(1+$B7)^4+DCF!$J$13/(1+$B7)^5+DCF!$K$13/(1+$B7)^6+DCF!$L$13/(1+$B7)^7+DCF!$M$13/(1+$B7)^8+DCF!$N$13/(1+$B7)^9+DCF!$N$13*(1+D$6)/($B7-D$6)/(1+$B7)^9+DCF!$N$33)/DCF!$N$37</f>
        <v>283.13889325856309</v>
      </c>
      <c r="E7" s="68">
        <f>(DCF!$F$13/(1+$B7)^1+DCF!$G$13/(1+$B7)^2+DCF!$H$13/(1+$B7)^3+DCF!$I$13/(1+$B7)^4+DCF!$J$13/(1+$B7)^5+DCF!$K$13/(1+$B7)^6+DCF!$L$13/(1+$B7)^7+DCF!$M$13/(1+$B7)^8+DCF!$N$13/(1+$B7)^9+DCF!$N$13*(1+E$6)/($B7-E$6)/(1+$B7)^9+DCF!$N$33)/DCF!$N$37</f>
        <v>302.49029267104896</v>
      </c>
      <c r="F7" s="68">
        <f>(DCF!$F$13/(1+$B7)^1+DCF!$G$13/(1+$B7)^2+DCF!$H$13/(1+$B7)^3+DCF!$I$13/(1+$B7)^4+DCF!$J$13/(1+$B7)^5+DCF!$K$13/(1+$B7)^6+DCF!$L$13/(1+$B7)^7+DCF!$M$13/(1+$B7)^8+DCF!$N$13/(1+$B7)^9+DCF!$N$13*(1+F$6)/($B7-F$6)/(1+$B7)^9+DCF!$N$33)/DCF!$N$37</f>
        <v>325.99420269041866</v>
      </c>
      <c r="G7" s="68">
        <f>(DCF!$F$13/(1+$B7)^1+DCF!$G$13/(1+$B7)^2+DCF!$H$13/(1+$B7)^3+DCF!$I$13/(1+$B7)^4+DCF!$J$13/(1+$B7)^5+DCF!$K$13/(1+$B7)^6+DCF!$L$13/(1+$B7)^7+DCF!$M$13/(1+$B7)^8+DCF!$N$13/(1+$B7)^9+DCF!$N$13*(1+G$6)/($B7-G$6)/(1+$B7)^9+DCF!$N$33)/DCF!$N$37</f>
        <v>355.14786214415523</v>
      </c>
    </row>
    <row r="8" spans="1:7" ht="15" customHeight="1" x14ac:dyDescent="0.45">
      <c r="B8" s="64">
        <f>Assumptions!$D$59+-0.005</f>
        <v>0.12160168568962976</v>
      </c>
      <c r="C8" s="68">
        <f>(DCF!$F$13/(1+$B8)^1+DCF!$G$13/(1+$B8)^2+DCF!$H$13/(1+$B8)^3+DCF!$I$13/(1+$B8)^4+DCF!$J$13/(1+$B8)^5+DCF!$K$13/(1+$B8)^6+DCF!$L$13/(1+$B8)^7+DCF!$M$13/(1+$B8)^8+DCF!$N$13/(1+$B8)^9+DCF!$N$13*(1+C$6)/($B8-C$6)/(1+$B8)^9+DCF!$N$33)/DCF!$N$37</f>
        <v>245.73344487226683</v>
      </c>
      <c r="D8" s="68">
        <f>(DCF!$F$13/(1+$B8)^1+DCF!$G$13/(1+$B8)^2+DCF!$H$13/(1+$B8)^3+DCF!$I$13/(1+$B8)^4+DCF!$J$13/(1+$B8)^5+DCF!$K$13/(1+$B8)^6+DCF!$L$13/(1+$B8)^7+DCF!$M$13/(1+$B8)^8+DCF!$N$13/(1+$B8)^9+DCF!$N$13*(1+D$6)/($B8-D$6)/(1+$B8)^9+DCF!$N$33)/DCF!$N$37</f>
        <v>259.02588828113784</v>
      </c>
      <c r="E8" s="68">
        <f>(DCF!$F$13/(1+$B8)^1+DCF!$G$13/(1+$B8)^2+DCF!$H$13/(1+$B8)^3+DCF!$I$13/(1+$B8)^4+DCF!$J$13/(1+$B8)^5+DCF!$K$13/(1+$B8)^6+DCF!$L$13/(1+$B8)^7+DCF!$M$13/(1+$B8)^8+DCF!$N$13/(1+$B8)^9+DCF!$N$13*(1+E$6)/($B8-E$6)/(1+$B8)^9+DCF!$N$33)/DCF!$N$37</f>
        <v>274.66674998301841</v>
      </c>
      <c r="F8" s="68">
        <f>(DCF!$F$13/(1+$B8)^1+DCF!$G$13/(1+$B8)^2+DCF!$H$13/(1+$B8)^3+DCF!$I$13/(1+$B8)^4+DCF!$J$13/(1+$B8)^5+DCF!$K$13/(1+$B8)^6+DCF!$L$13/(1+$B8)^7+DCF!$M$13/(1+$B8)^8+DCF!$N$13/(1+$B8)^9+DCF!$N$13*(1+F$6)/($B8-F$6)/(1+$B8)^9+DCF!$N$33)/DCF!$N$37</f>
        <v>293.33868741292008</v>
      </c>
      <c r="G8" s="68">
        <f>(DCF!$F$13/(1+$B8)^1+DCF!$G$13/(1+$B8)^2+DCF!$H$13/(1+$B8)^3+DCF!$I$13/(1+$B8)^4+DCF!$J$13/(1+$B8)^5+DCF!$K$13/(1+$B8)^6+DCF!$L$13/(1+$B8)^7+DCF!$M$13/(1+$B8)^8+DCF!$N$13/(1+$B8)^9+DCF!$N$13*(1+G$6)/($B8-G$6)/(1+$B8)^9+DCF!$N$33)/DCF!$N$37</f>
        <v>316.01733343148896</v>
      </c>
    </row>
    <row r="9" spans="1:7" ht="15" customHeight="1" x14ac:dyDescent="0.45">
      <c r="B9" s="22">
        <f>Assumptions!$D$59+0</f>
        <v>0.12660168568962976</v>
      </c>
      <c r="C9" s="68">
        <f>(DCF!$F$13/(1+$B9)^1+DCF!$G$13/(1+$B9)^2+DCF!$H$13/(1+$B9)^3+DCF!$I$13/(1+$B9)^4+DCF!$J$13/(1+$B9)^5+DCF!$K$13/(1+$B9)^6+DCF!$L$13/(1+$B9)^7+DCF!$M$13/(1+$B9)^8+DCF!$N$13/(1+$B9)^9+DCF!$N$13*(1+C$6)/($B9-C$6)/(1+$B9)^9+DCF!$N$33)/DCF!$N$37</f>
        <v>227.55709590188988</v>
      </c>
      <c r="D9" s="68">
        <f>(DCF!$F$13/(1+$B9)^1+DCF!$G$13/(1+$B9)^2+DCF!$H$13/(1+$B9)^3+DCF!$I$13/(1+$B9)^4+DCF!$J$13/(1+$B9)^5+DCF!$K$13/(1+$B9)^6+DCF!$L$13/(1+$B9)^7+DCF!$M$13/(1+$B9)^8+DCF!$N$13/(1+$B9)^9+DCF!$N$13*(1+D$6)/($B9-D$6)/(1+$B9)^9+DCF!$N$33)/DCF!$N$37</f>
        <v>238.59331268410571</v>
      </c>
      <c r="E9" s="69">
        <f>(DCF!$F$13/(1+$B9)^1+DCF!$G$13/(1+$B9)^2+DCF!$H$13/(1+$B9)^3+DCF!$I$13/(1+$B9)^4+DCF!$J$13/(1+$B9)^5+DCF!$K$13/(1+$B9)^6+DCF!$L$13/(1+$B9)^7+DCF!$M$13/(1+$B9)^8+DCF!$N$13/(1+$B9)^9+DCF!$N$13*(1+E$6)/($B9-E$6)/(1+$B9)^9+DCF!$N$33)/DCF!$N$37</f>
        <v>251.42107407401613</v>
      </c>
      <c r="F9" s="68">
        <f>(DCF!$F$13/(1+$B9)^1+DCF!$G$13/(1+$B9)^2+DCF!$H$13/(1+$B9)^3+DCF!$I$13/(1+$B9)^4+DCF!$J$13/(1+$B9)^5+DCF!$K$13/(1+$B9)^6+DCF!$L$13/(1+$B9)^7+DCF!$M$13/(1+$B9)^8+DCF!$N$13/(1+$B9)^9+DCF!$N$13*(1+F$6)/($B9-F$6)/(1+$B9)^9+DCF!$N$33)/DCF!$N$37</f>
        <v>266.51515690534984</v>
      </c>
      <c r="G9" s="68">
        <f>(DCF!$F$13/(1+$B9)^1+DCF!$G$13/(1+$B9)^2+DCF!$H$13/(1+$B9)^3+DCF!$I$13/(1+$B9)^4+DCF!$J$13/(1+$B9)^5+DCF!$K$13/(1+$B9)^6+DCF!$L$13/(1+$B9)^7+DCF!$M$13/(1+$B9)^8+DCF!$N$13/(1+$B9)^9+DCF!$N$13*(1+G$6)/($B9-G$6)/(1+$B9)^9+DCF!$N$33)/DCF!$N$37</f>
        <v>284.53435402890261</v>
      </c>
    </row>
    <row r="10" spans="1:7" ht="15" customHeight="1" x14ac:dyDescent="0.45">
      <c r="B10" s="64">
        <f>Assumptions!$D$59+0.005</f>
        <v>0.13160168568962977</v>
      </c>
      <c r="C10" s="68">
        <f>(DCF!$F$13/(1+$B10)^1+DCF!$G$13/(1+$B10)^2+DCF!$H$13/(1+$B10)^3+DCF!$I$13/(1+$B10)^4+DCF!$J$13/(1+$B10)^5+DCF!$K$13/(1+$B10)^6+DCF!$L$13/(1+$B10)^7+DCF!$M$13/(1+$B10)^8+DCF!$N$13/(1+$B10)^9+DCF!$N$13*(1+C$6)/($B10-C$6)/(1+$B10)^9+DCF!$N$33)/DCF!$N$37</f>
        <v>211.80688797364095</v>
      </c>
      <c r="D10" s="68">
        <f>(DCF!$F$13/(1+$B10)^1+DCF!$G$13/(1+$B10)^2+DCF!$H$13/(1+$B10)^3+DCF!$I$13/(1+$B10)^4+DCF!$J$13/(1+$B10)^5+DCF!$K$13/(1+$B10)^6+DCF!$L$13/(1+$B10)^7+DCF!$M$13/(1+$B10)^8+DCF!$N$13/(1+$B10)^9+DCF!$N$13*(1+D$6)/($B10-D$6)/(1+$B10)^9+DCF!$N$33)/DCF!$N$37</f>
        <v>221.06839381680868</v>
      </c>
      <c r="E10" s="68">
        <f>(DCF!$F$13/(1+$B10)^1+DCF!$G$13/(1+$B10)^2+DCF!$H$13/(1+$B10)^3+DCF!$I$13/(1+$B10)^4+DCF!$J$13/(1+$B10)^5+DCF!$K$13/(1+$B10)^6+DCF!$L$13/(1+$B10)^7+DCF!$M$13/(1+$B10)^8+DCF!$N$13/(1+$B10)^9+DCF!$N$13*(1+E$6)/($B10-E$6)/(1+$B10)^9+DCF!$N$33)/DCF!$N$37</f>
        <v>231.72048095642089</v>
      </c>
      <c r="F10" s="68">
        <f>(DCF!$F$13/(1+$B10)^1+DCF!$G$13/(1+$B10)^2+DCF!$H$13/(1+$B10)^3+DCF!$I$13/(1+$B10)^4+DCF!$J$13/(1+$B10)^5+DCF!$K$13/(1+$B10)^6+DCF!$L$13/(1+$B10)^7+DCF!$M$13/(1+$B10)^8+DCF!$N$13/(1+$B10)^9+DCF!$N$13*(1+F$6)/($B10-F$6)/(1+$B10)^9+DCF!$N$33)/DCF!$N$37</f>
        <v>244.10175570191799</v>
      </c>
      <c r="G10" s="68">
        <f>(DCF!$F$13/(1+$B10)^1+DCF!$G$13/(1+$B10)^2+DCF!$H$13/(1+$B10)^3+DCF!$I$13/(1+$B10)^4+DCF!$J$13/(1+$B10)^5+DCF!$K$13/(1+$B10)^6+DCF!$L$13/(1+$B10)^7+DCF!$M$13/(1+$B10)^8+DCF!$N$13/(1+$B10)^9+DCF!$N$13*(1+G$6)/($B10-G$6)/(1+$B10)^9+DCF!$N$33)/DCF!$N$37</f>
        <v>258.6704696719973</v>
      </c>
    </row>
    <row r="11" spans="1:7" ht="15" customHeight="1" x14ac:dyDescent="0.45">
      <c r="B11" s="64">
        <f>Assumptions!$D$59+0.01</f>
        <v>0.13660168568962977</v>
      </c>
      <c r="C11" s="68">
        <f>(DCF!$F$13/(1+$B11)^1+DCF!$G$13/(1+$B11)^2+DCF!$H$13/(1+$B11)^3+DCF!$I$13/(1+$B11)^4+DCF!$J$13/(1+$B11)^5+DCF!$K$13/(1+$B11)^6+DCF!$L$13/(1+$B11)^7+DCF!$M$13/(1+$B11)^8+DCF!$N$13/(1+$B11)^9+DCF!$N$13*(1+C$6)/($B11-C$6)/(1+$B11)^9+DCF!$N$33)/DCF!$N$37</f>
        <v>198.03527354732762</v>
      </c>
      <c r="D11" s="68">
        <f>(DCF!$F$13/(1+$B11)^1+DCF!$G$13/(1+$B11)^2+DCF!$H$13/(1+$B11)^3+DCF!$I$13/(1+$B11)^4+DCF!$J$13/(1+$B11)^5+DCF!$K$13/(1+$B11)^6+DCF!$L$13/(1+$B11)^7+DCF!$M$13/(1+$B11)^8+DCF!$N$13/(1+$B11)^9+DCF!$N$13*(1+D$6)/($B11-D$6)/(1+$B11)^9+DCF!$N$33)/DCF!$N$37</f>
        <v>205.88018491005749</v>
      </c>
      <c r="E11" s="68">
        <f>(DCF!$F$13/(1+$B11)^1+DCF!$G$13/(1+$B11)^2+DCF!$H$13/(1+$B11)^3+DCF!$I$13/(1+$B11)^4+DCF!$J$13/(1+$B11)^5+DCF!$K$13/(1+$B11)^6+DCF!$L$13/(1+$B11)^7+DCF!$M$13/(1+$B11)^8+DCF!$N$13/(1+$B11)^9+DCF!$N$13*(1+E$6)/($B11-E$6)/(1+$B11)^9+DCF!$N$33)/DCF!$N$37</f>
        <v>214.82072848970677</v>
      </c>
      <c r="F11" s="68">
        <f>(DCF!$F$13/(1+$B11)^1+DCF!$G$13/(1+$B11)^2+DCF!$H$13/(1+$B11)^3+DCF!$I$13/(1+$B11)^4+DCF!$J$13/(1+$B11)^5+DCF!$K$13/(1+$B11)^6+DCF!$L$13/(1+$B11)^7+DCF!$M$13/(1+$B11)^8+DCF!$N$13/(1+$B11)^9+DCF!$N$13*(1+F$6)/($B11-F$6)/(1+$B11)^9+DCF!$N$33)/DCF!$N$37</f>
        <v>225.1036620534945</v>
      </c>
      <c r="G11" s="68">
        <f>(DCF!$F$13/(1+$B11)^1+DCF!$G$13/(1+$B11)^2+DCF!$H$13/(1+$B11)^3+DCF!$I$13/(1+$B11)^4+DCF!$J$13/(1+$B11)^5+DCF!$K$13/(1+$B11)^6+DCF!$L$13/(1+$B11)^7+DCF!$M$13/(1+$B11)^8+DCF!$N$13/(1+$B11)^9+DCF!$N$13*(1+G$6)/($B11-G$6)/(1+$B11)^9+DCF!$N$33)/DCF!$N$37</f>
        <v>237.05585733450152</v>
      </c>
    </row>
    <row r="13" spans="1:7" ht="15" customHeight="1" x14ac:dyDescent="0.45">
      <c r="B13" s="25" t="s">
        <v>372</v>
      </c>
    </row>
    <row r="14" spans="1:7" ht="15" customHeight="1" x14ac:dyDescent="0.45">
      <c r="A14" t="s">
        <v>2</v>
      </c>
      <c r="B14" s="3" t="s">
        <v>371</v>
      </c>
      <c r="C14" s="67">
        <v>5.5E-2</v>
      </c>
      <c r="D14" s="67">
        <v>0.06</v>
      </c>
      <c r="E14" s="67">
        <v>6.5000000000000002E-2</v>
      </c>
      <c r="F14" s="67">
        <v>7.0000000000000007E-2</v>
      </c>
      <c r="G14" s="67">
        <v>7.4999999999999997E-2</v>
      </c>
    </row>
    <row r="15" spans="1:7" ht="15" customHeight="1" x14ac:dyDescent="0.45">
      <c r="B15" s="64">
        <f>Assumptions!$D$59+-0.01</f>
        <v>0.11660168568962977</v>
      </c>
      <c r="C15" s="33">
        <f>C7/Assumptions!$D$6-1</f>
        <v>9.906068606929308E-2</v>
      </c>
      <c r="D15" s="33">
        <f>D7/Assumptions!$D$6-1</f>
        <v>0.16580431201285917</v>
      </c>
      <c r="E15" s="33">
        <f>E7/Assumptions!$D$6-1</f>
        <v>0.24548232663996772</v>
      </c>
      <c r="F15" s="33">
        <f>F7/Assumptions!$D$6-1</f>
        <v>0.34225800918359073</v>
      </c>
      <c r="G15" s="33">
        <f>G7/Assumptions!$D$6-1</f>
        <v>0.46229613432764527</v>
      </c>
    </row>
    <row r="16" spans="1:7" ht="15" customHeight="1" x14ac:dyDescent="0.45">
      <c r="B16" s="64">
        <f>Assumptions!$D$59+-0.005</f>
        <v>0.12160168568962976</v>
      </c>
      <c r="C16" s="33">
        <f>C8/Assumptions!$D$6-1</f>
        <v>1.1790031178271709E-2</v>
      </c>
      <c r="D16" s="33">
        <f>D8/Assumptions!$D$6-1</f>
        <v>6.6520724178111168E-2</v>
      </c>
      <c r="E16" s="33">
        <f>E8/Assumptions!$D$6-1</f>
        <v>0.13092086294321414</v>
      </c>
      <c r="F16" s="33">
        <f>F8/Assumptions!$D$6-1</f>
        <v>0.20780124104632147</v>
      </c>
      <c r="G16" s="33">
        <f>G8/Assumptions!$D$6-1</f>
        <v>0.30117895759661129</v>
      </c>
    </row>
    <row r="17" spans="2:7" ht="15" customHeight="1" x14ac:dyDescent="0.45">
      <c r="B17" s="22">
        <f>Assumptions!$D$59+0</f>
        <v>0.12660168568962976</v>
      </c>
      <c r="C17" s="33">
        <f>C9/Assumptions!$D$6-1</f>
        <v>-6.3049796591222118E-2</v>
      </c>
      <c r="D17" s="33">
        <f>D9/Assumptions!$D$6-1</f>
        <v>-1.7608956708915491E-2</v>
      </c>
      <c r="E17" s="70">
        <f>E9/Assumptions!$D$6-1</f>
        <v>3.520844103436449E-2</v>
      </c>
      <c r="F17" s="33">
        <f>F9/Assumptions!$D$6-1</f>
        <v>9.7357256579033269E-2</v>
      </c>
      <c r="G17" s="33">
        <f>G9/Assumptions!$D$6-1</f>
        <v>0.17155002276486431</v>
      </c>
    </row>
    <row r="18" spans="2:7" ht="15" customHeight="1" x14ac:dyDescent="0.45">
      <c r="B18" s="64">
        <f>Assumptions!$D$59+0.005</f>
        <v>0.13160168568962977</v>
      </c>
      <c r="C18" s="33">
        <f>C10/Assumptions!$D$6-1</f>
        <v>-0.12790016068826549</v>
      </c>
      <c r="D18" s="33">
        <f>D10/Assumptions!$D$6-1</f>
        <v>-8.9766567230169736E-2</v>
      </c>
      <c r="E18" s="33">
        <f>E10/Assumptions!$D$6-1</f>
        <v>-4.5907353907766013E-2</v>
      </c>
      <c r="F18" s="33">
        <f>F10/Assumptions!$D$6-1</f>
        <v>5.0716667431875972E-3</v>
      </c>
      <c r="G18" s="33">
        <f>G10/Assumptions!$D$6-1</f>
        <v>6.5057313262227856E-2</v>
      </c>
    </row>
    <row r="19" spans="2:7" ht="15" customHeight="1" x14ac:dyDescent="0.45">
      <c r="B19" s="64">
        <f>Assumptions!$D$59+0.01</f>
        <v>0.13660168568962977</v>
      </c>
      <c r="C19" s="33">
        <f>C11/Assumptions!$D$6-1</f>
        <v>-0.18460380636831386</v>
      </c>
      <c r="D19" s="33">
        <f>D11/Assumptions!$D$6-1</f>
        <v>-0.15230294021469304</v>
      </c>
      <c r="E19" s="33">
        <f>E11/Assumptions!$D$6-1</f>
        <v>-0.11549088611311908</v>
      </c>
      <c r="F19" s="33">
        <f>F11/Assumptions!$D$6-1</f>
        <v>-7.315163645779843E-2</v>
      </c>
      <c r="G19" s="33">
        <f>G11/Assumptions!$D$6-1</f>
        <v>-2.3939320070401782E-2</v>
      </c>
    </row>
    <row r="21" spans="2:7" ht="61.5" customHeight="1" x14ac:dyDescent="0.45">
      <c r="B21" s="24"/>
    </row>
  </sheetData>
  <pageMargins left="0.75" right="0.75" top="1" bottom="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Summary</vt:lpstr>
      <vt:lpstr>Historicals</vt:lpstr>
      <vt:lpstr>Assumptions</vt:lpstr>
      <vt:lpstr>RevBuild</vt:lpstr>
      <vt:lpstr>Model</vt:lpstr>
      <vt:lpstr>Ratios</vt:lpstr>
      <vt:lpstr>DCF</vt:lpstr>
      <vt:lpstr>SOTP</vt:lpstr>
      <vt:lpstr>Comps</vt:lpstr>
      <vt:lpstr>Scenarios</vt:lpstr>
      <vt:lpstr>WACC</vt:lpstr>
      <vt:lpstr>Sensitivity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Aditya Nair</cp:lastModifiedBy>
  <cp:revision>0</cp:revision>
  <dcterms:created xsi:type="dcterms:W3CDTF">2026-08-14T07:39:47Z</dcterms:created>
  <dcterms:modified xsi:type="dcterms:W3CDTF">2026-08-21T04:48:21Z</dcterms:modified>
  <dc:language>en-US</dc:language>
</cp:coreProperties>
</file>